
<file path=[Content_Types].xml><?xml version="1.0" encoding="utf-8"?>
<Types xmlns="http://schemas.openxmlformats.org/package/2006/content-types">
  <Override PartName="/xl/theme/themeOverride4.xml" ContentType="application/vnd.openxmlformats-officedocument.themeOverrid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theme/themeOverride39.xml" ContentType="application/vnd.openxmlformats-officedocument.themeOverride+xml"/>
  <Override PartName="/xl/worksheets/sheet7.xml" ContentType="application/vnd.openxmlformats-officedocument.spreadsheetml.worksheet+xml"/>
  <Override PartName="/xl/theme/themeOverride17.xml" ContentType="application/vnd.openxmlformats-officedocument.themeOverride+xml"/>
  <Override PartName="/xl/theme/themeOverride28.xml" ContentType="application/vnd.openxmlformats-officedocument.themeOverride+xml"/>
  <Override PartName="/xl/theme/themeOverride46.xml" ContentType="application/vnd.openxmlformats-officedocument.themeOverride+xml"/>
  <Default Extension="xml" ContentType="application/xml"/>
  <Override PartName="/xl/drawings/drawing2.xml" ContentType="application/vnd.openxmlformats-officedocument.drawing+xml"/>
  <Override PartName="/xl/theme/themeOverride24.xml" ContentType="application/vnd.openxmlformats-officedocument.themeOverride+xml"/>
  <Override PartName="/xl/theme/themeOverride35.xml" ContentType="application/vnd.openxmlformats-officedocument.themeOverride+xml"/>
  <Override PartName="/xl/charts/chart49.xml" ContentType="application/vnd.openxmlformats-officedocument.drawingml.chart+xml"/>
  <Override PartName="/xl/worksheets/sheet3.xml" ContentType="application/vnd.openxmlformats-officedocument.spreadsheetml.worksheet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theme/themeOverride42.xml" ContentType="application/vnd.openxmlformats-officedocument.themeOverride+xml"/>
  <Override PartName="/xl/charts/chart16.xml" ContentType="application/vnd.openxmlformats-officedocument.drawingml.chart+xml"/>
  <Override PartName="/xl/theme/themeOverride20.xml" ContentType="application/vnd.openxmlformats-officedocument.themeOverride+xml"/>
  <Override PartName="/xl/theme/themeOverride31.xml" ContentType="application/vnd.openxmlformats-officedocument.themeOverride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Default Extension="bin" ContentType="application/vnd.openxmlformats-officedocument.spreadsheetml.printerSettings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29.xml" ContentType="application/vnd.openxmlformats-officedocument.themeOverride+xml"/>
  <Override PartName="/xl/drawings/drawing7.xml" ContentType="application/vnd.openxmlformats-officedocument.drawing+xml"/>
  <Override PartName="/xl/theme/themeOverride38.xml" ContentType="application/vnd.openxmlformats-officedocument.themeOverride+xml"/>
  <Override PartName="/xl/theme/themeOverride47.xml" ContentType="application/vnd.openxmlformats-officedocument.themeOverride+xml"/>
  <Override PartName="/xl/theme/themeOverride49.xml" ContentType="application/vnd.openxmlformats-officedocument.themeOverride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18.xml" ContentType="application/vnd.openxmlformats-officedocument.themeOverride+xml"/>
  <Override PartName="/xl/drawings/drawing5.xml" ContentType="application/vnd.openxmlformats-officedocument.drawing+xml"/>
  <Override PartName="/xl/theme/themeOverride27.xml" ContentType="application/vnd.openxmlformats-officedocument.themeOverride+xml"/>
  <Override PartName="/xl/theme/themeOverride36.xml" ContentType="application/vnd.openxmlformats-officedocument.themeOverride+xml"/>
  <Override PartName="/xl/theme/themeOverride45.xml" ContentType="application/vnd.openxmlformats-officedocument.themeOverrid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theme/themeOverride16.xml" ContentType="application/vnd.openxmlformats-officedocument.themeOverride+xml"/>
  <Override PartName="/xl/theme/themeOverride25.xml" ContentType="application/vnd.openxmlformats-officedocument.themeOverride+xml"/>
  <Override PartName="/xl/theme/themeOverride34.xml" ContentType="application/vnd.openxmlformats-officedocument.themeOverride+xml"/>
  <Override PartName="/xl/charts/chart39.xml" ContentType="application/vnd.openxmlformats-officedocument.drawingml.chart+xml"/>
  <Override PartName="/xl/theme/themeOverride43.xml" ContentType="application/vnd.openxmlformats-officedocument.themeOverride+xml"/>
  <Override PartName="/xl/charts/chart4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theme/themeOverride14.xml" ContentType="application/vnd.openxmlformats-officedocument.themeOverride+xml"/>
  <Override PartName="/xl/charts/chart19.xml" ContentType="application/vnd.openxmlformats-officedocument.drawingml.chart+xml"/>
  <Override PartName="/xl/theme/themeOverride23.xml" ContentType="application/vnd.openxmlformats-officedocument.themeOverride+xml"/>
  <Override PartName="/xl/charts/chart28.xml" ContentType="application/vnd.openxmlformats-officedocument.drawingml.chart+xml"/>
  <Override PartName="/xl/theme/themeOverride32.xml" ContentType="application/vnd.openxmlformats-officedocument.themeOverride+xml"/>
  <Override PartName="/xl/charts/chart37.xml" ContentType="application/vnd.openxmlformats-officedocument.drawingml.chart+xml"/>
  <Override PartName="/xl/theme/themeOverride41.xml" ContentType="application/vnd.openxmlformats-officedocument.themeOverride+xml"/>
  <Override PartName="/xl/charts/chart46.xml" ContentType="application/vnd.openxmlformats-officedocument.drawingml.chart+xml"/>
  <Override PartName="/xl/theme/themeOverride12.xml" ContentType="application/vnd.openxmlformats-officedocument.themeOverride+xml"/>
  <Override PartName="/xl/charts/chart17.xml" ContentType="application/vnd.openxmlformats-officedocument.drawingml.chart+xml"/>
  <Override PartName="/xl/theme/themeOverride21.xml" ContentType="application/vnd.openxmlformats-officedocument.themeOverride+xml"/>
  <Override PartName="/xl/charts/chart26.xml" ContentType="application/vnd.openxmlformats-officedocument.drawingml.chart+xml"/>
  <Override PartName="/xl/theme/themeOverride30.xml" ContentType="application/vnd.openxmlformats-officedocument.themeOverride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theme/themeOverride50.xml" ContentType="application/vnd.openxmlformats-officedocument.themeOverride+xml"/>
  <Override PartName="/xl/calcChain.xml" ContentType="application/vnd.openxmlformats-officedocument.spreadsheetml.calcChain+xml"/>
  <Override PartName="/xl/theme/themeOverride8.xml" ContentType="application/vnd.openxmlformats-officedocument.themeOverrid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drawings/drawing10.xml" ContentType="application/vnd.openxmlformats-officedocument.drawing+xml"/>
  <Override PartName="/xl/charts/chart51.xml" ContentType="application/vnd.openxmlformats-officedocument.drawingml.chart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theme/themeOverride2.xml" ContentType="application/vnd.openxmlformats-officedocument.themeOverride+xml"/>
  <Override PartName="/xl/theme/themeOverride19.xml" ContentType="application/vnd.openxmlformats-officedocument.themeOverride+xml"/>
  <Override PartName="/xl/drawings/drawing8.xml" ContentType="application/vnd.openxmlformats-officedocument.drawing+xml"/>
  <Override PartName="/xl/theme/themeOverride48.xml" ContentType="application/vnd.openxmlformats-officedocument.themeOverride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theme/themeOverride37.xml" ContentType="application/vnd.openxmlformats-officedocument.themeOverride+xml"/>
  <Default Extension="rels" ContentType="application/vnd.openxmlformats-package.relationships+xml"/>
  <Override PartName="/xl/worksheets/sheet5.xml" ContentType="application/vnd.openxmlformats-officedocument.spreadsheetml.worksheet+xml"/>
  <Override PartName="/xl/theme/themeOverride15.xml" ContentType="application/vnd.openxmlformats-officedocument.themeOverride+xml"/>
  <Override PartName="/xl/theme/themeOverride26.xml" ContentType="application/vnd.openxmlformats-officedocument.themeOverride+xml"/>
  <Override PartName="/xl/charts/chart29.xml" ContentType="application/vnd.openxmlformats-officedocument.drawingml.chart+xml"/>
  <Override PartName="/xl/theme/themeOverride44.xml" ContentType="application/vnd.openxmlformats-officedocument.themeOverride+xml"/>
  <Override PartName="/xl/charts/chart18.xml" ContentType="application/vnd.openxmlformats-officedocument.drawingml.chart+xml"/>
  <Override PartName="/xl/theme/themeOverride22.xml" ContentType="application/vnd.openxmlformats-officedocument.themeOverride+xml"/>
  <Override PartName="/xl/theme/themeOverride33.xml" ContentType="application/vnd.openxmlformats-officedocument.themeOverride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theme/themeOverride51.xml" ContentType="application/vnd.openxmlformats-officedocument.themeOverride+xml"/>
  <Override PartName="/xl/worksheets/sheet1.xml" ContentType="application/vnd.openxmlformats-officedocument.spreadsheetml.worksheet+xml"/>
  <Override PartName="/xl/theme/themeOverride11.xml" ContentType="application/vnd.openxmlformats-officedocument.themeOverride+xml"/>
  <Override PartName="/xl/charts/chart25.xml" ContentType="application/vnd.openxmlformats-officedocument.drawingml.chart+xml"/>
  <Override PartName="/xl/theme/themeOverride40.xml" ContentType="application/vnd.openxmlformats-officedocument.themeOverride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итульный лист" sheetId="17" r:id="rId1"/>
    <sheet name="5-а класс" sheetId="4" r:id="rId2"/>
    <sheet name="5-б класс" sheetId="5" r:id="rId3"/>
    <sheet name="6 кл." sheetId="6" r:id="rId4"/>
    <sheet name="7-а класс" sheetId="7" r:id="rId5"/>
    <sheet name="7-б класс" sheetId="8" r:id="rId6"/>
    <sheet name="8 кл." sheetId="9" r:id="rId7"/>
    <sheet name="9-а кл." sheetId="10" r:id="rId8"/>
    <sheet name="9-б кл." sheetId="11" r:id="rId9"/>
    <sheet name="10 кл." sheetId="12" r:id="rId10"/>
    <sheet name="11 класс" sheetId="13" r:id="rId11"/>
    <sheet name="Итог.таблица" sheetId="14" r:id="rId12"/>
    <sheet name="Лучшие из лучших" sheetId="15" r:id="rId13"/>
  </sheets>
  <definedNames>
    <definedName name="_xlnm.Print_Area" localSheetId="12">'Лучшие из лучших'!$A$1:$M$34</definedName>
  </definedNames>
  <calcPr calcId="124519"/>
</workbook>
</file>

<file path=xl/calcChain.xml><?xml version="1.0" encoding="utf-8"?>
<calcChain xmlns="http://schemas.openxmlformats.org/spreadsheetml/2006/main">
  <c r="CL33" i="13"/>
  <c r="BS33"/>
  <c r="AY33"/>
  <c r="AA33"/>
  <c r="CL26" i="12"/>
  <c r="CI26" s="1"/>
  <c r="BS26"/>
  <c r="BP24" i="11"/>
  <c r="CF24"/>
  <c r="CH24"/>
  <c r="BR24"/>
  <c r="AX24"/>
  <c r="CH36" i="10"/>
  <c r="BR36"/>
  <c r="CF36"/>
  <c r="BP27" i="9"/>
  <c r="CF27"/>
  <c r="CH27"/>
  <c r="BR27"/>
  <c r="CF34" i="8"/>
  <c r="CH34"/>
  <c r="BR34"/>
  <c r="BP33" i="6"/>
  <c r="BP33" i="5"/>
  <c r="BP24" i="4"/>
  <c r="CF24"/>
  <c r="F4" i="15"/>
  <c r="I4" s="1"/>
  <c r="L4" s="1"/>
  <c r="F5"/>
  <c r="I5"/>
  <c r="L5" s="1"/>
  <c r="F6"/>
  <c r="I6" s="1"/>
  <c r="L6" s="1"/>
  <c r="F7"/>
  <c r="I7"/>
  <c r="L7" s="1"/>
  <c r="F8"/>
  <c r="I8" s="1"/>
  <c r="L8" s="1"/>
  <c r="F9"/>
  <c r="I9"/>
  <c r="L9" s="1"/>
  <c r="F10"/>
  <c r="I10" s="1"/>
  <c r="L10" s="1"/>
  <c r="F11"/>
  <c r="I11"/>
  <c r="L11" s="1"/>
  <c r="F12"/>
  <c r="I12" s="1"/>
  <c r="L12" s="1"/>
  <c r="F13"/>
  <c r="I13"/>
  <c r="L13" s="1"/>
  <c r="F14"/>
  <c r="I14" s="1"/>
  <c r="L14" s="1"/>
  <c r="F15"/>
  <c r="I15"/>
  <c r="L15" s="1"/>
  <c r="F16"/>
  <c r="I16" s="1"/>
  <c r="L16" s="1"/>
  <c r="F17"/>
  <c r="I17"/>
  <c r="L17" s="1"/>
  <c r="F18"/>
  <c r="I18"/>
  <c r="L18"/>
  <c r="F20"/>
  <c r="I20"/>
  <c r="L20"/>
  <c r="F21"/>
  <c r="I21"/>
  <c r="L21"/>
  <c r="F22"/>
  <c r="I22"/>
  <c r="L22"/>
  <c r="F23"/>
  <c r="I23"/>
  <c r="L23"/>
  <c r="F24"/>
  <c r="I24"/>
  <c r="L24"/>
  <c r="F25"/>
  <c r="I25"/>
  <c r="L25"/>
  <c r="F26"/>
  <c r="I26"/>
  <c r="L26"/>
  <c r="F27"/>
  <c r="I27"/>
  <c r="L27"/>
  <c r="F28"/>
  <c r="I28"/>
  <c r="L28"/>
  <c r="F29"/>
  <c r="I29"/>
  <c r="L29"/>
  <c r="F30"/>
  <c r="I30"/>
  <c r="L30"/>
  <c r="F31"/>
  <c r="I31"/>
  <c r="L31"/>
  <c r="F32"/>
  <c r="I32"/>
  <c r="L32"/>
  <c r="F33"/>
  <c r="I33"/>
  <c r="L33"/>
  <c r="F34"/>
  <c r="I34"/>
  <c r="L34"/>
  <c r="H16" i="14"/>
  <c r="G16"/>
  <c r="I16" s="1"/>
  <c r="D16"/>
  <c r="B16"/>
  <c r="E16" s="1"/>
  <c r="K16" s="1"/>
  <c r="I15"/>
  <c r="E15"/>
  <c r="K15" s="1"/>
  <c r="I14"/>
  <c r="E14"/>
  <c r="K14" s="1"/>
  <c r="I13"/>
  <c r="E13"/>
  <c r="K13" s="1"/>
  <c r="I12"/>
  <c r="E12"/>
  <c r="K12" s="1"/>
  <c r="I11"/>
  <c r="E11"/>
  <c r="K11" s="1"/>
  <c r="I10"/>
  <c r="E10"/>
  <c r="K10" s="1"/>
  <c r="I9"/>
  <c r="E9"/>
  <c r="K9" s="1"/>
  <c r="I8"/>
  <c r="E8"/>
  <c r="K8" s="1"/>
  <c r="I7"/>
  <c r="E7"/>
  <c r="K7" s="1"/>
  <c r="I6"/>
  <c r="E6"/>
  <c r="K6" s="1"/>
  <c r="CI33" i="13"/>
  <c r="BQ33"/>
  <c r="AX33"/>
  <c r="Z33"/>
  <c r="C33"/>
  <c r="D33" s="1"/>
  <c r="C32"/>
  <c r="C31"/>
  <c r="C30"/>
  <c r="D30" s="1"/>
  <c r="C29"/>
  <c r="D29" s="1"/>
  <c r="D24"/>
  <c r="CG22"/>
  <c r="CF22"/>
  <c r="CE22"/>
  <c r="CB22"/>
  <c r="BY22"/>
  <c r="BV22"/>
  <c r="BP22"/>
  <c r="CH22" s="1"/>
  <c r="BO22"/>
  <c r="BL22"/>
  <c r="BI22"/>
  <c r="BF22"/>
  <c r="BC22"/>
  <c r="AV22"/>
  <c r="AU22"/>
  <c r="AT22"/>
  <c r="AQ22"/>
  <c r="AN22"/>
  <c r="AK22"/>
  <c r="AH22"/>
  <c r="AE22"/>
  <c r="Z22"/>
  <c r="Y22"/>
  <c r="AW22" s="1"/>
  <c r="BR22" s="1"/>
  <c r="CJ22" s="1"/>
  <c r="X22"/>
  <c r="U22"/>
  <c r="R22"/>
  <c r="O22"/>
  <c r="CG21"/>
  <c r="CF21"/>
  <c r="CE21"/>
  <c r="CB21"/>
  <c r="BY21"/>
  <c r="BV21"/>
  <c r="BP21"/>
  <c r="CH21" s="1"/>
  <c r="CI21" s="1"/>
  <c r="BO21"/>
  <c r="BL21"/>
  <c r="BI21"/>
  <c r="BF21"/>
  <c r="BC21"/>
  <c r="AV21"/>
  <c r="AU21"/>
  <c r="AT21"/>
  <c r="AQ21"/>
  <c r="AN21"/>
  <c r="AK21"/>
  <c r="AH21"/>
  <c r="AE21"/>
  <c r="Z21"/>
  <c r="Y21"/>
  <c r="AW21" s="1"/>
  <c r="X21"/>
  <c r="U21"/>
  <c r="R21"/>
  <c r="O21"/>
  <c r="K21"/>
  <c r="I21"/>
  <c r="CG20"/>
  <c r="CF20"/>
  <c r="CE20"/>
  <c r="CB20"/>
  <c r="BY20"/>
  <c r="BV20"/>
  <c r="BP20"/>
  <c r="CH20" s="1"/>
  <c r="CI20" s="1"/>
  <c r="BO20"/>
  <c r="BL20"/>
  <c r="BI20"/>
  <c r="BF20"/>
  <c r="BC20"/>
  <c r="AV20"/>
  <c r="AU20"/>
  <c r="AT20"/>
  <c r="AQ20"/>
  <c r="AN20"/>
  <c r="AK20"/>
  <c r="AH20"/>
  <c r="AE20"/>
  <c r="Y20"/>
  <c r="AW20" s="1"/>
  <c r="X20"/>
  <c r="U20"/>
  <c r="R20"/>
  <c r="O20"/>
  <c r="K20"/>
  <c r="I20"/>
  <c r="CF19"/>
  <c r="CH19" s="1"/>
  <c r="CI19" s="1"/>
  <c r="CE19"/>
  <c r="CB19"/>
  <c r="BY19"/>
  <c r="BV19"/>
  <c r="BQ19"/>
  <c r="BP19"/>
  <c r="BO19"/>
  <c r="BL19"/>
  <c r="BI19"/>
  <c r="BF19"/>
  <c r="BC19"/>
  <c r="AU19"/>
  <c r="AW19" s="1"/>
  <c r="AT19"/>
  <c r="AQ19"/>
  <c r="AN19"/>
  <c r="AK19"/>
  <c r="AH19"/>
  <c r="AE19"/>
  <c r="Y19"/>
  <c r="X19"/>
  <c r="U19"/>
  <c r="R19"/>
  <c r="O19"/>
  <c r="K19"/>
  <c r="I19"/>
  <c r="CG18"/>
  <c r="CF18"/>
  <c r="CE18"/>
  <c r="CB18"/>
  <c r="BY18"/>
  <c r="BV18"/>
  <c r="BP18"/>
  <c r="CH18" s="1"/>
  <c r="CI18" s="1"/>
  <c r="BO18"/>
  <c r="BL18"/>
  <c r="BI18"/>
  <c r="BF18"/>
  <c r="BC18"/>
  <c r="AV18"/>
  <c r="AU18"/>
  <c r="AT18"/>
  <c r="AQ18"/>
  <c r="AN18"/>
  <c r="AK18"/>
  <c r="AH18"/>
  <c r="AE18"/>
  <c r="Y18"/>
  <c r="AW18" s="1"/>
  <c r="X18"/>
  <c r="U18"/>
  <c r="R18"/>
  <c r="O18"/>
  <c r="K18"/>
  <c r="I18"/>
  <c r="CF17"/>
  <c r="CH17" s="1"/>
  <c r="CI17" s="1"/>
  <c r="CE17"/>
  <c r="CB17"/>
  <c r="BY17"/>
  <c r="BV17"/>
  <c r="BQ17"/>
  <c r="BP17"/>
  <c r="BO17"/>
  <c r="BL17"/>
  <c r="BI17"/>
  <c r="BF17"/>
  <c r="BC17"/>
  <c r="AU17"/>
  <c r="AV17" s="1"/>
  <c r="AT17"/>
  <c r="AQ17"/>
  <c r="AN17"/>
  <c r="AK17"/>
  <c r="AH17"/>
  <c r="AE17"/>
  <c r="Y17"/>
  <c r="AW17" s="1"/>
  <c r="X17"/>
  <c r="U17"/>
  <c r="R17"/>
  <c r="O17"/>
  <c r="K17"/>
  <c r="I17"/>
  <c r="CF16"/>
  <c r="CH16" s="1"/>
  <c r="CI16" s="1"/>
  <c r="CE16"/>
  <c r="CB16"/>
  <c r="BY16"/>
  <c r="BV16"/>
  <c r="BQ16"/>
  <c r="BP16"/>
  <c r="BO16"/>
  <c r="BL16"/>
  <c r="BI16"/>
  <c r="AU16"/>
  <c r="AV16" s="1"/>
  <c r="AT16"/>
  <c r="AQ16"/>
  <c r="AN16"/>
  <c r="AK16"/>
  <c r="AH16"/>
  <c r="AE16"/>
  <c r="Y16"/>
  <c r="AW16" s="1"/>
  <c r="X16"/>
  <c r="U16"/>
  <c r="R16"/>
  <c r="O16"/>
  <c r="K16"/>
  <c r="I16"/>
  <c r="CF15"/>
  <c r="CH15" s="1"/>
  <c r="CI15" s="1"/>
  <c r="CE15"/>
  <c r="CB15"/>
  <c r="BY15"/>
  <c r="BV15"/>
  <c r="BQ15"/>
  <c r="BP15"/>
  <c r="BO15"/>
  <c r="BL15"/>
  <c r="BI15"/>
  <c r="BF15"/>
  <c r="BC15"/>
  <c r="AU15"/>
  <c r="AV15" s="1"/>
  <c r="AT15"/>
  <c r="AQ15"/>
  <c r="AN15"/>
  <c r="AK15"/>
  <c r="AH15"/>
  <c r="AE15"/>
  <c r="Y15"/>
  <c r="AW15" s="1"/>
  <c r="X15"/>
  <c r="U15"/>
  <c r="R15"/>
  <c r="O15"/>
  <c r="K15"/>
  <c r="I15"/>
  <c r="CF14"/>
  <c r="CH14" s="1"/>
  <c r="CI14" s="1"/>
  <c r="CE14"/>
  <c r="CB14"/>
  <c r="BY14"/>
  <c r="BV14"/>
  <c r="BQ14"/>
  <c r="BP14"/>
  <c r="BO14"/>
  <c r="BL14"/>
  <c r="BI14"/>
  <c r="AU14"/>
  <c r="AV14" s="1"/>
  <c r="AT14"/>
  <c r="AQ14"/>
  <c r="AN14"/>
  <c r="AK14"/>
  <c r="AH14"/>
  <c r="AE14"/>
  <c r="Y14"/>
  <c r="AW14" s="1"/>
  <c r="X14"/>
  <c r="U14"/>
  <c r="R14"/>
  <c r="O14"/>
  <c r="K14"/>
  <c r="I14"/>
  <c r="CF13"/>
  <c r="CH13" s="1"/>
  <c r="CI13" s="1"/>
  <c r="CE13"/>
  <c r="CB13"/>
  <c r="BY13"/>
  <c r="BV13"/>
  <c r="BQ13"/>
  <c r="BP13"/>
  <c r="BO13"/>
  <c r="BL13"/>
  <c r="BI13"/>
  <c r="AU13"/>
  <c r="AV13" s="1"/>
  <c r="AT13"/>
  <c r="AQ13"/>
  <c r="AN13"/>
  <c r="AK13"/>
  <c r="AH13"/>
  <c r="AE13"/>
  <c r="Y13"/>
  <c r="AW13" s="1"/>
  <c r="X13"/>
  <c r="U13"/>
  <c r="R13"/>
  <c r="O13"/>
  <c r="K13"/>
  <c r="I13"/>
  <c r="CF12"/>
  <c r="CH12" s="1"/>
  <c r="CI12" s="1"/>
  <c r="CE12"/>
  <c r="CB12"/>
  <c r="BY12"/>
  <c r="BV12"/>
  <c r="BQ12"/>
  <c r="BP12"/>
  <c r="BO12"/>
  <c r="BL12"/>
  <c r="BI12"/>
  <c r="AU12"/>
  <c r="AV12" s="1"/>
  <c r="AT12"/>
  <c r="AQ12"/>
  <c r="AN12"/>
  <c r="AK12"/>
  <c r="AH12"/>
  <c r="AE12"/>
  <c r="Y12"/>
  <c r="AW12" s="1"/>
  <c r="X12"/>
  <c r="U12"/>
  <c r="R12"/>
  <c r="O12"/>
  <c r="K12"/>
  <c r="I12"/>
  <c r="CF10"/>
  <c r="CH10" s="1"/>
  <c r="CI10" s="1"/>
  <c r="CE10"/>
  <c r="CB10"/>
  <c r="BY10"/>
  <c r="BV10"/>
  <c r="BQ10"/>
  <c r="BP10"/>
  <c r="BO10"/>
  <c r="BL10"/>
  <c r="BI10"/>
  <c r="BF10"/>
  <c r="BF24" s="1"/>
  <c r="BC10"/>
  <c r="BC24" s="1"/>
  <c r="AU10"/>
  <c r="AV10" s="1"/>
  <c r="AT10"/>
  <c r="AQ10"/>
  <c r="AN10"/>
  <c r="AK10"/>
  <c r="AH10"/>
  <c r="AE10"/>
  <c r="Y10"/>
  <c r="AW10" s="1"/>
  <c r="X10"/>
  <c r="U10"/>
  <c r="R10"/>
  <c r="O10"/>
  <c r="K10"/>
  <c r="I10"/>
  <c r="CF9"/>
  <c r="CH9" s="1"/>
  <c r="CI9" s="1"/>
  <c r="CE9"/>
  <c r="CB9"/>
  <c r="BY9"/>
  <c r="BV9"/>
  <c r="BQ9"/>
  <c r="BP9"/>
  <c r="BO9"/>
  <c r="BL9"/>
  <c r="BI9"/>
  <c r="AU9"/>
  <c r="AV9" s="1"/>
  <c r="AT9"/>
  <c r="AQ9"/>
  <c r="AN9"/>
  <c r="AK9"/>
  <c r="AH9"/>
  <c r="AE9"/>
  <c r="Y9"/>
  <c r="AW9" s="1"/>
  <c r="X9"/>
  <c r="U9"/>
  <c r="R9"/>
  <c r="O9"/>
  <c r="K9"/>
  <c r="I9"/>
  <c r="CF8"/>
  <c r="CH8" s="1"/>
  <c r="CI8" s="1"/>
  <c r="CE8"/>
  <c r="CB8"/>
  <c r="BY8"/>
  <c r="BV8"/>
  <c r="BQ8"/>
  <c r="BP8"/>
  <c r="BO8"/>
  <c r="BL8"/>
  <c r="BI8"/>
  <c r="AU8"/>
  <c r="AV8" s="1"/>
  <c r="AT8"/>
  <c r="AQ8"/>
  <c r="AN8"/>
  <c r="AK8"/>
  <c r="AH8"/>
  <c r="AE8"/>
  <c r="Y8"/>
  <c r="AW8" s="1"/>
  <c r="X8"/>
  <c r="U8"/>
  <c r="R8"/>
  <c r="O8"/>
  <c r="K8"/>
  <c r="I8"/>
  <c r="CF7"/>
  <c r="CH7" s="1"/>
  <c r="CI7" s="1"/>
  <c r="CE7"/>
  <c r="CB7"/>
  <c r="BY7"/>
  <c r="BV7"/>
  <c r="BQ7"/>
  <c r="BP7"/>
  <c r="BO7"/>
  <c r="BL7"/>
  <c r="BI7"/>
  <c r="AU7"/>
  <c r="AV7" s="1"/>
  <c r="AT7"/>
  <c r="AQ7"/>
  <c r="AN7"/>
  <c r="AK7"/>
  <c r="AH7"/>
  <c r="AE7"/>
  <c r="Y7"/>
  <c r="AW7" s="1"/>
  <c r="X7"/>
  <c r="U7"/>
  <c r="R7"/>
  <c r="O7"/>
  <c r="K7"/>
  <c r="I7"/>
  <c r="CF6"/>
  <c r="CH6" s="1"/>
  <c r="CI6" s="1"/>
  <c r="CE6"/>
  <c r="CB6"/>
  <c r="BY6"/>
  <c r="BV6"/>
  <c r="BQ6"/>
  <c r="BP6"/>
  <c r="BO6"/>
  <c r="BL6"/>
  <c r="BI6"/>
  <c r="AU6"/>
  <c r="AV6" s="1"/>
  <c r="AT6"/>
  <c r="AQ6"/>
  <c r="AN6"/>
  <c r="AK6"/>
  <c r="AH6"/>
  <c r="AE6"/>
  <c r="Y6"/>
  <c r="AW6" s="1"/>
  <c r="X6"/>
  <c r="U6"/>
  <c r="R6"/>
  <c r="O6"/>
  <c r="K6"/>
  <c r="I6"/>
  <c r="CF5"/>
  <c r="CH5" s="1"/>
  <c r="CI5" s="1"/>
  <c r="CE5"/>
  <c r="CB5"/>
  <c r="BY5"/>
  <c r="BV5"/>
  <c r="BQ5"/>
  <c r="BP5"/>
  <c r="BO5"/>
  <c r="BL5"/>
  <c r="BI5"/>
  <c r="AU5"/>
  <c r="AV5" s="1"/>
  <c r="AT5"/>
  <c r="AQ5"/>
  <c r="AN5"/>
  <c r="AK5"/>
  <c r="AH5"/>
  <c r="AE5"/>
  <c r="Y5"/>
  <c r="AW5" s="1"/>
  <c r="X5"/>
  <c r="U5"/>
  <c r="R5"/>
  <c r="O5"/>
  <c r="K5"/>
  <c r="I5"/>
  <c r="CF4"/>
  <c r="CH4" s="1"/>
  <c r="CI4" s="1"/>
  <c r="CE4"/>
  <c r="CB4"/>
  <c r="BY4"/>
  <c r="BV4"/>
  <c r="BQ4"/>
  <c r="BP4"/>
  <c r="BO4"/>
  <c r="BO24" s="1"/>
  <c r="BL4"/>
  <c r="BI4"/>
  <c r="AU4"/>
  <c r="AV4" s="1"/>
  <c r="AT4"/>
  <c r="AQ4"/>
  <c r="AN4"/>
  <c r="AK4"/>
  <c r="AH4"/>
  <c r="AE4"/>
  <c r="Y4"/>
  <c r="AW4" s="1"/>
  <c r="X4"/>
  <c r="U4"/>
  <c r="R4"/>
  <c r="O4"/>
  <c r="K4"/>
  <c r="I4"/>
  <c r="CF3"/>
  <c r="CH3" s="1"/>
  <c r="CI3" s="1"/>
  <c r="CE3"/>
  <c r="CE24" s="1"/>
  <c r="CB3"/>
  <c r="CB24" s="1"/>
  <c r="BY3"/>
  <c r="BY24" s="1"/>
  <c r="BV3"/>
  <c r="BV24" s="1"/>
  <c r="CG24" s="1"/>
  <c r="BQ3"/>
  <c r="BP3"/>
  <c r="BO3"/>
  <c r="BL3"/>
  <c r="BL24" s="1"/>
  <c r="BI3"/>
  <c r="BI24" s="1"/>
  <c r="AU3"/>
  <c r="AV3" s="1"/>
  <c r="AT3"/>
  <c r="AT24" s="1"/>
  <c r="AQ3"/>
  <c r="AQ24" s="1"/>
  <c r="AN3"/>
  <c r="AN24" s="1"/>
  <c r="AK3"/>
  <c r="AK24" s="1"/>
  <c r="AH3"/>
  <c r="AH24" s="1"/>
  <c r="AE3"/>
  <c r="AE24" s="1"/>
  <c r="AV24" s="1"/>
  <c r="Y3"/>
  <c r="AW3" s="1"/>
  <c r="X3"/>
  <c r="X24" s="1"/>
  <c r="U3"/>
  <c r="U24" s="1"/>
  <c r="R3"/>
  <c r="R24" s="1"/>
  <c r="O3"/>
  <c r="O24" s="1"/>
  <c r="K3"/>
  <c r="I3"/>
  <c r="BQ26" i="12"/>
  <c r="AY26"/>
  <c r="AX26" s="1"/>
  <c r="AA26"/>
  <c r="Z26" s="1"/>
  <c r="C26"/>
  <c r="D26" s="1"/>
  <c r="C25"/>
  <c r="C24"/>
  <c r="C23"/>
  <c r="D23" s="1"/>
  <c r="C22"/>
  <c r="D22" s="1"/>
  <c r="BF17"/>
  <c r="BC17"/>
  <c r="D17"/>
  <c r="CG15"/>
  <c r="CF15"/>
  <c r="CE15"/>
  <c r="CB15"/>
  <c r="BY15"/>
  <c r="BV15"/>
  <c r="BP15"/>
  <c r="CH15" s="1"/>
  <c r="CI15" s="1"/>
  <c r="BO15"/>
  <c r="BL15"/>
  <c r="BI15"/>
  <c r="AV15"/>
  <c r="AU15"/>
  <c r="AT15"/>
  <c r="AQ15"/>
  <c r="AN15"/>
  <c r="AK15"/>
  <c r="AH15"/>
  <c r="AE15"/>
  <c r="Z15"/>
  <c r="Y15"/>
  <c r="AW15" s="1"/>
  <c r="X15"/>
  <c r="U15"/>
  <c r="R15"/>
  <c r="O15"/>
  <c r="K15"/>
  <c r="I15"/>
  <c r="CG14"/>
  <c r="CF14"/>
  <c r="CE14"/>
  <c r="CB14"/>
  <c r="BY14"/>
  <c r="BV14"/>
  <c r="BP14"/>
  <c r="CH14" s="1"/>
  <c r="CI14" s="1"/>
  <c r="BO14"/>
  <c r="BL14"/>
  <c r="BI14"/>
  <c r="AV14"/>
  <c r="AU14"/>
  <c r="AT14"/>
  <c r="AQ14"/>
  <c r="AN14"/>
  <c r="AK14"/>
  <c r="AH14"/>
  <c r="AE14"/>
  <c r="Z14"/>
  <c r="Y14"/>
  <c r="AW14" s="1"/>
  <c r="X14"/>
  <c r="U14"/>
  <c r="R14"/>
  <c r="O14"/>
  <c r="K14"/>
  <c r="I14"/>
  <c r="CG13"/>
  <c r="CF13"/>
  <c r="CE13"/>
  <c r="CB13"/>
  <c r="BY13"/>
  <c r="BV13"/>
  <c r="BP13"/>
  <c r="CH13" s="1"/>
  <c r="CI13" s="1"/>
  <c r="BO13"/>
  <c r="BL13"/>
  <c r="BI13"/>
  <c r="AV13"/>
  <c r="AU13"/>
  <c r="AT13"/>
  <c r="AQ13"/>
  <c r="AN13"/>
  <c r="AK13"/>
  <c r="AH13"/>
  <c r="AE13"/>
  <c r="Z13"/>
  <c r="Y13"/>
  <c r="AW13" s="1"/>
  <c r="X13"/>
  <c r="U13"/>
  <c r="R13"/>
  <c r="O13"/>
  <c r="K13"/>
  <c r="I13"/>
  <c r="CG12"/>
  <c r="CF12"/>
  <c r="CE12"/>
  <c r="CB12"/>
  <c r="BY12"/>
  <c r="BV12"/>
  <c r="BP12"/>
  <c r="CH12" s="1"/>
  <c r="CI12" s="1"/>
  <c r="BO12"/>
  <c r="BL12"/>
  <c r="BI12"/>
  <c r="AV12"/>
  <c r="AU12"/>
  <c r="AT12"/>
  <c r="AQ12"/>
  <c r="AN12"/>
  <c r="AK12"/>
  <c r="AH12"/>
  <c r="AE12"/>
  <c r="Z12"/>
  <c r="Y12"/>
  <c r="AW12" s="1"/>
  <c r="X12"/>
  <c r="U12"/>
  <c r="R12"/>
  <c r="O12"/>
  <c r="K12"/>
  <c r="I12"/>
  <c r="CG11"/>
  <c r="CF11"/>
  <c r="CE11"/>
  <c r="CB11"/>
  <c r="BY11"/>
  <c r="BV11"/>
  <c r="BP11"/>
  <c r="CH11" s="1"/>
  <c r="CI11" s="1"/>
  <c r="BO11"/>
  <c r="BL11"/>
  <c r="BI11"/>
  <c r="AV11"/>
  <c r="AU11"/>
  <c r="AT11"/>
  <c r="AQ11"/>
  <c r="AN11"/>
  <c r="AK11"/>
  <c r="AH11"/>
  <c r="AE11"/>
  <c r="Z11"/>
  <c r="Y11"/>
  <c r="AW11" s="1"/>
  <c r="X11"/>
  <c r="U11"/>
  <c r="R11"/>
  <c r="O11"/>
  <c r="K11"/>
  <c r="I11"/>
  <c r="CG10"/>
  <c r="CF10"/>
  <c r="CE10"/>
  <c r="CB10"/>
  <c r="BY10"/>
  <c r="BV10"/>
  <c r="BP10"/>
  <c r="CH10" s="1"/>
  <c r="CI10" s="1"/>
  <c r="BO10"/>
  <c r="BL10"/>
  <c r="BI10"/>
  <c r="AV10"/>
  <c r="AU10"/>
  <c r="AT10"/>
  <c r="AQ10"/>
  <c r="AN10"/>
  <c r="AK10"/>
  <c r="AH10"/>
  <c r="AE10"/>
  <c r="Z10"/>
  <c r="Y10"/>
  <c r="AW10" s="1"/>
  <c r="X10"/>
  <c r="U10"/>
  <c r="R10"/>
  <c r="O10"/>
  <c r="K10"/>
  <c r="I10"/>
  <c r="CG9"/>
  <c r="CF9"/>
  <c r="CE9"/>
  <c r="CB9"/>
  <c r="BY9"/>
  <c r="BV9"/>
  <c r="BP9"/>
  <c r="CH9" s="1"/>
  <c r="CI9" s="1"/>
  <c r="BO9"/>
  <c r="BL9"/>
  <c r="BI9"/>
  <c r="AV9"/>
  <c r="AU9"/>
  <c r="AT9"/>
  <c r="AQ9"/>
  <c r="AN9"/>
  <c r="AK9"/>
  <c r="AH9"/>
  <c r="AE9"/>
  <c r="Z9"/>
  <c r="Y9"/>
  <c r="AW9" s="1"/>
  <c r="X9"/>
  <c r="U9"/>
  <c r="R9"/>
  <c r="O9"/>
  <c r="K9"/>
  <c r="I9"/>
  <c r="CG7"/>
  <c r="CF7"/>
  <c r="CE7"/>
  <c r="CB7"/>
  <c r="BY7"/>
  <c r="BV7"/>
  <c r="BP7"/>
  <c r="CH7" s="1"/>
  <c r="CI7" s="1"/>
  <c r="BO7"/>
  <c r="BO17" s="1"/>
  <c r="BL7"/>
  <c r="BL17" s="1"/>
  <c r="BI7"/>
  <c r="BI17" s="1"/>
  <c r="AV7"/>
  <c r="AU7"/>
  <c r="AT7"/>
  <c r="AT17" s="1"/>
  <c r="AQ7"/>
  <c r="AQ17" s="1"/>
  <c r="AN7"/>
  <c r="AN17" s="1"/>
  <c r="AK7"/>
  <c r="AK17" s="1"/>
  <c r="AH7"/>
  <c r="AH17" s="1"/>
  <c r="AE7"/>
  <c r="AE17" s="1"/>
  <c r="Z7"/>
  <c r="Y7"/>
  <c r="AW7" s="1"/>
  <c r="X7"/>
  <c r="X17" s="1"/>
  <c r="U7"/>
  <c r="U17" s="1"/>
  <c r="R7"/>
  <c r="R17" s="1"/>
  <c r="O7"/>
  <c r="O17" s="1"/>
  <c r="K7"/>
  <c r="I7"/>
  <c r="CG6"/>
  <c r="CF6"/>
  <c r="CE6"/>
  <c r="CB6"/>
  <c r="BY6"/>
  <c r="BV6"/>
  <c r="BP6"/>
  <c r="CH6" s="1"/>
  <c r="CI6" s="1"/>
  <c r="BO6"/>
  <c r="BL6"/>
  <c r="BI6"/>
  <c r="AV6"/>
  <c r="AU6"/>
  <c r="AT6"/>
  <c r="AQ6"/>
  <c r="AN6"/>
  <c r="AK6"/>
  <c r="AH6"/>
  <c r="AE6"/>
  <c r="Z6"/>
  <c r="Y6"/>
  <c r="AW6" s="1"/>
  <c r="X6"/>
  <c r="U6"/>
  <c r="R6"/>
  <c r="O6"/>
  <c r="K6"/>
  <c r="I6"/>
  <c r="CG5"/>
  <c r="CF5"/>
  <c r="CE5"/>
  <c r="CB5"/>
  <c r="BY5"/>
  <c r="BV5"/>
  <c r="BP5"/>
  <c r="CH5" s="1"/>
  <c r="CI5" s="1"/>
  <c r="BO5"/>
  <c r="BL5"/>
  <c r="BI5"/>
  <c r="AV5"/>
  <c r="AU5"/>
  <c r="AT5"/>
  <c r="AQ5"/>
  <c r="AN5"/>
  <c r="AK5"/>
  <c r="AH5"/>
  <c r="AE5"/>
  <c r="Z5"/>
  <c r="Y5"/>
  <c r="AW5" s="1"/>
  <c r="X5"/>
  <c r="U5"/>
  <c r="R5"/>
  <c r="O5"/>
  <c r="K5"/>
  <c r="I5"/>
  <c r="CG4"/>
  <c r="CF4"/>
  <c r="CE4"/>
  <c r="CB4"/>
  <c r="BY4"/>
  <c r="BV4"/>
  <c r="BP4"/>
  <c r="CH4" s="1"/>
  <c r="CI4" s="1"/>
  <c r="BO4"/>
  <c r="BL4"/>
  <c r="BI4"/>
  <c r="AV4"/>
  <c r="AU4"/>
  <c r="AT4"/>
  <c r="AQ4"/>
  <c r="AN4"/>
  <c r="AK4"/>
  <c r="AH4"/>
  <c r="AE4"/>
  <c r="Z4"/>
  <c r="Y4"/>
  <c r="AW4" s="1"/>
  <c r="X4"/>
  <c r="U4"/>
  <c r="R4"/>
  <c r="O4"/>
  <c r="K4"/>
  <c r="I4"/>
  <c r="CG3"/>
  <c r="CF3"/>
  <c r="CE3"/>
  <c r="CE17" s="1"/>
  <c r="CB3"/>
  <c r="CB17" s="1"/>
  <c r="BY3"/>
  <c r="BY17" s="1"/>
  <c r="BV3"/>
  <c r="BV17" s="1"/>
  <c r="BP3"/>
  <c r="CH3" s="1"/>
  <c r="CI3" s="1"/>
  <c r="BO3"/>
  <c r="BL3"/>
  <c r="BI3"/>
  <c r="AV3"/>
  <c r="AU3"/>
  <c r="AT3"/>
  <c r="AQ3"/>
  <c r="AN3"/>
  <c r="AK3"/>
  <c r="AH3"/>
  <c r="AE3"/>
  <c r="Z3"/>
  <c r="Z23" s="1"/>
  <c r="Y3"/>
  <c r="AW3" s="1"/>
  <c r="X3"/>
  <c r="U3"/>
  <c r="R3"/>
  <c r="O3"/>
  <c r="K3"/>
  <c r="I3"/>
  <c r="AV24" i="11"/>
  <c r="AA24"/>
  <c r="Z24" s="1"/>
  <c r="C24"/>
  <c r="D24" s="1"/>
  <c r="C23"/>
  <c r="C22"/>
  <c r="C21"/>
  <c r="D21" s="1"/>
  <c r="C20"/>
  <c r="D20" s="1"/>
  <c r="BE15"/>
  <c r="BB15"/>
  <c r="D15"/>
  <c r="CE13"/>
  <c r="CF13" s="1"/>
  <c r="CD13"/>
  <c r="CA13"/>
  <c r="BX13"/>
  <c r="BU13"/>
  <c r="BP13"/>
  <c r="BO13"/>
  <c r="BN13"/>
  <c r="BK13"/>
  <c r="BH13"/>
  <c r="AV13"/>
  <c r="AU13"/>
  <c r="AT13"/>
  <c r="AQ13"/>
  <c r="AN13"/>
  <c r="AK13"/>
  <c r="AH13"/>
  <c r="AE13"/>
  <c r="Z13"/>
  <c r="Y13"/>
  <c r="AW13" s="1"/>
  <c r="BQ13" s="1"/>
  <c r="CG13" s="1"/>
  <c r="X13"/>
  <c r="U13"/>
  <c r="R13"/>
  <c r="O13"/>
  <c r="K13"/>
  <c r="I13"/>
  <c r="CE12"/>
  <c r="CF12" s="1"/>
  <c r="CD12"/>
  <c r="CA12"/>
  <c r="BX12"/>
  <c r="BU12"/>
  <c r="BP12"/>
  <c r="BO12"/>
  <c r="BN12"/>
  <c r="BK12"/>
  <c r="BH12"/>
  <c r="AV12"/>
  <c r="AU12"/>
  <c r="AT12"/>
  <c r="AQ12"/>
  <c r="AN12"/>
  <c r="AK12"/>
  <c r="AH12"/>
  <c r="AE12"/>
  <c r="Z12"/>
  <c r="Y12"/>
  <c r="AW12" s="1"/>
  <c r="BQ12" s="1"/>
  <c r="CG12" s="1"/>
  <c r="X12"/>
  <c r="U12"/>
  <c r="R12"/>
  <c r="O12"/>
  <c r="K12"/>
  <c r="I12"/>
  <c r="CE11"/>
  <c r="CF11" s="1"/>
  <c r="CD11"/>
  <c r="CA11"/>
  <c r="BX11"/>
  <c r="BU11"/>
  <c r="BP11"/>
  <c r="BO11"/>
  <c r="BN11"/>
  <c r="BK11"/>
  <c r="BH11"/>
  <c r="AV11"/>
  <c r="AU11"/>
  <c r="AT11"/>
  <c r="AQ11"/>
  <c r="AN11"/>
  <c r="AK11"/>
  <c r="AH11"/>
  <c r="AE11"/>
  <c r="Z11"/>
  <c r="Y11"/>
  <c r="AW11" s="1"/>
  <c r="BQ11" s="1"/>
  <c r="CG11" s="1"/>
  <c r="X11"/>
  <c r="U11"/>
  <c r="R11"/>
  <c r="O11"/>
  <c r="K11"/>
  <c r="I11"/>
  <c r="CE10"/>
  <c r="CF10" s="1"/>
  <c r="CD10"/>
  <c r="CA10"/>
  <c r="BX10"/>
  <c r="BU10"/>
  <c r="BP10"/>
  <c r="BO10"/>
  <c r="BN10"/>
  <c r="BK10"/>
  <c r="BH10"/>
  <c r="AV10"/>
  <c r="AU10"/>
  <c r="AT10"/>
  <c r="AQ10"/>
  <c r="AN10"/>
  <c r="AK10"/>
  <c r="AH10"/>
  <c r="AE10"/>
  <c r="Z10"/>
  <c r="Y10"/>
  <c r="AW10" s="1"/>
  <c r="BQ10" s="1"/>
  <c r="CG10" s="1"/>
  <c r="X10"/>
  <c r="U10"/>
  <c r="R10"/>
  <c r="O10"/>
  <c r="K10"/>
  <c r="I10"/>
  <c r="CE9"/>
  <c r="CF9" s="1"/>
  <c r="CD9"/>
  <c r="CA9"/>
  <c r="BX9"/>
  <c r="BU9"/>
  <c r="BP9"/>
  <c r="BO9"/>
  <c r="BN9"/>
  <c r="BK9"/>
  <c r="BH9"/>
  <c r="AV9"/>
  <c r="AU9"/>
  <c r="AT9"/>
  <c r="AQ9"/>
  <c r="AN9"/>
  <c r="AK9"/>
  <c r="AH9"/>
  <c r="AE9"/>
  <c r="Z9"/>
  <c r="Y9"/>
  <c r="AW9" s="1"/>
  <c r="BQ9" s="1"/>
  <c r="CG9" s="1"/>
  <c r="X9"/>
  <c r="U9"/>
  <c r="R9"/>
  <c r="O9"/>
  <c r="K9"/>
  <c r="I9"/>
  <c r="CE7"/>
  <c r="CF7" s="1"/>
  <c r="CD7"/>
  <c r="CA7"/>
  <c r="BX7"/>
  <c r="BU7"/>
  <c r="BP7"/>
  <c r="BO7"/>
  <c r="BN7"/>
  <c r="BK7"/>
  <c r="BH7"/>
  <c r="AV7"/>
  <c r="AU7"/>
  <c r="AT7"/>
  <c r="AQ7"/>
  <c r="AN7"/>
  <c r="AK7"/>
  <c r="AH7"/>
  <c r="AE7"/>
  <c r="Z7"/>
  <c r="Y7"/>
  <c r="AW7" s="1"/>
  <c r="BQ7" s="1"/>
  <c r="CG7" s="1"/>
  <c r="X7"/>
  <c r="U7"/>
  <c r="R7"/>
  <c r="O7"/>
  <c r="K7"/>
  <c r="I7"/>
  <c r="CE6"/>
  <c r="CF6" s="1"/>
  <c r="CD6"/>
  <c r="CA6"/>
  <c r="BX6"/>
  <c r="BU6"/>
  <c r="BP6"/>
  <c r="BO6"/>
  <c r="BN6"/>
  <c r="BK6"/>
  <c r="BH6"/>
  <c r="AV6"/>
  <c r="AU6"/>
  <c r="AT6"/>
  <c r="AQ6"/>
  <c r="AN6"/>
  <c r="AK6"/>
  <c r="AH6"/>
  <c r="AE6"/>
  <c r="Z6"/>
  <c r="Y6"/>
  <c r="AW6" s="1"/>
  <c r="BQ6" s="1"/>
  <c r="CG6" s="1"/>
  <c r="X6"/>
  <c r="U6"/>
  <c r="R6"/>
  <c r="O6"/>
  <c r="K6"/>
  <c r="I6"/>
  <c r="CE5"/>
  <c r="CF5" s="1"/>
  <c r="CD5"/>
  <c r="CA5"/>
  <c r="BX5"/>
  <c r="BU5"/>
  <c r="BP5"/>
  <c r="BO5"/>
  <c r="BN5"/>
  <c r="BK5"/>
  <c r="BH5"/>
  <c r="AV5"/>
  <c r="AU5"/>
  <c r="AT5"/>
  <c r="AQ5"/>
  <c r="AN5"/>
  <c r="AK5"/>
  <c r="AH5"/>
  <c r="AE5"/>
  <c r="Z5"/>
  <c r="Y5"/>
  <c r="AW5" s="1"/>
  <c r="BQ5" s="1"/>
  <c r="CG5" s="1"/>
  <c r="X5"/>
  <c r="U5"/>
  <c r="R5"/>
  <c r="O5"/>
  <c r="K5"/>
  <c r="I5"/>
  <c r="CE4"/>
  <c r="CF4" s="1"/>
  <c r="CD4"/>
  <c r="CA4"/>
  <c r="BX4"/>
  <c r="BU4"/>
  <c r="BP4"/>
  <c r="BO4"/>
  <c r="BN4"/>
  <c r="BK4"/>
  <c r="BH4"/>
  <c r="AV4"/>
  <c r="AU4"/>
  <c r="AT4"/>
  <c r="AQ4"/>
  <c r="AN4"/>
  <c r="AK4"/>
  <c r="AH4"/>
  <c r="AE4"/>
  <c r="Z4"/>
  <c r="Y4"/>
  <c r="AW4" s="1"/>
  <c r="BQ4" s="1"/>
  <c r="CG4" s="1"/>
  <c r="X4"/>
  <c r="U4"/>
  <c r="R4"/>
  <c r="O4"/>
  <c r="K4"/>
  <c r="I4"/>
  <c r="CE3"/>
  <c r="CF3" s="1"/>
  <c r="CD3"/>
  <c r="CD15" s="1"/>
  <c r="CA3"/>
  <c r="CA15" s="1"/>
  <c r="BX3"/>
  <c r="BX15" s="1"/>
  <c r="BU3"/>
  <c r="BU15" s="1"/>
  <c r="CF15" s="1"/>
  <c r="BP3"/>
  <c r="BP21" s="1"/>
  <c r="BO3"/>
  <c r="BN3"/>
  <c r="BN15" s="1"/>
  <c r="BK3"/>
  <c r="BK15" s="1"/>
  <c r="BH3"/>
  <c r="BH15" s="1"/>
  <c r="AV3"/>
  <c r="AV22" s="1"/>
  <c r="AU3"/>
  <c r="AT3"/>
  <c r="AT15" s="1"/>
  <c r="AQ3"/>
  <c r="AQ15" s="1"/>
  <c r="AN3"/>
  <c r="AN15" s="1"/>
  <c r="AK3"/>
  <c r="AK15" s="1"/>
  <c r="AH3"/>
  <c r="AH15" s="1"/>
  <c r="AE3"/>
  <c r="AE15" s="1"/>
  <c r="Z3"/>
  <c r="Z21" s="1"/>
  <c r="Y3"/>
  <c r="AW3" s="1"/>
  <c r="BQ3" s="1"/>
  <c r="CG3" s="1"/>
  <c r="X3"/>
  <c r="X15" s="1"/>
  <c r="U3"/>
  <c r="U15" s="1"/>
  <c r="R3"/>
  <c r="R15" s="1"/>
  <c r="O3"/>
  <c r="O15" s="1"/>
  <c r="K3"/>
  <c r="I3"/>
  <c r="BP36" i="10"/>
  <c r="AX36"/>
  <c r="AV36" s="1"/>
  <c r="AA36"/>
  <c r="Z36" s="1"/>
  <c r="D36"/>
  <c r="C36"/>
  <c r="C35"/>
  <c r="C34"/>
  <c r="D33"/>
  <c r="C33"/>
  <c r="D32"/>
  <c r="C32"/>
  <c r="BE27"/>
  <c r="BB27"/>
  <c r="X27"/>
  <c r="R27"/>
  <c r="D27"/>
  <c r="CF25"/>
  <c r="CE25"/>
  <c r="CD25"/>
  <c r="CA25"/>
  <c r="BX25"/>
  <c r="BU25"/>
  <c r="BO25"/>
  <c r="BP25" s="1"/>
  <c r="BN25"/>
  <c r="BK25"/>
  <c r="BH25"/>
  <c r="AU25"/>
  <c r="AV25" s="1"/>
  <c r="AT25"/>
  <c r="AQ25"/>
  <c r="AN25"/>
  <c r="AK25"/>
  <c r="AH25"/>
  <c r="AE25"/>
  <c r="Y25"/>
  <c r="Z25" s="1"/>
  <c r="X25"/>
  <c r="U25"/>
  <c r="R25"/>
  <c r="O25"/>
  <c r="K25"/>
  <c r="I25"/>
  <c r="CF24"/>
  <c r="CE24"/>
  <c r="CD24"/>
  <c r="CA24"/>
  <c r="BX24"/>
  <c r="BU24"/>
  <c r="BO24"/>
  <c r="BP24" s="1"/>
  <c r="BN24"/>
  <c r="BK24"/>
  <c r="BH24"/>
  <c r="AU24"/>
  <c r="AV24" s="1"/>
  <c r="AT24"/>
  <c r="AQ24"/>
  <c r="AN24"/>
  <c r="AK24"/>
  <c r="AH24"/>
  <c r="AE24"/>
  <c r="Y24"/>
  <c r="Z24" s="1"/>
  <c r="X24"/>
  <c r="U24"/>
  <c r="R24"/>
  <c r="O24"/>
  <c r="K24"/>
  <c r="I24"/>
  <c r="CF23"/>
  <c r="CE23"/>
  <c r="CD23"/>
  <c r="CA23"/>
  <c r="BX23"/>
  <c r="BU23"/>
  <c r="BO23"/>
  <c r="BP23" s="1"/>
  <c r="BN23"/>
  <c r="BK23"/>
  <c r="BH23"/>
  <c r="AU23"/>
  <c r="AV23" s="1"/>
  <c r="AT23"/>
  <c r="AQ23"/>
  <c r="AN23"/>
  <c r="AK23"/>
  <c r="AH23"/>
  <c r="AE23"/>
  <c r="Y23"/>
  <c r="Z23" s="1"/>
  <c r="X23"/>
  <c r="U23"/>
  <c r="R23"/>
  <c r="O23"/>
  <c r="K23"/>
  <c r="I23"/>
  <c r="CF22"/>
  <c r="CE22"/>
  <c r="CD22"/>
  <c r="CA22"/>
  <c r="BX22"/>
  <c r="BU22"/>
  <c r="BO22"/>
  <c r="BP22" s="1"/>
  <c r="BN22"/>
  <c r="BK22"/>
  <c r="BH22"/>
  <c r="AU22"/>
  <c r="AV22" s="1"/>
  <c r="AT22"/>
  <c r="AQ22"/>
  <c r="AN22"/>
  <c r="AK22"/>
  <c r="AH22"/>
  <c r="AE22"/>
  <c r="Y22"/>
  <c r="Z22" s="1"/>
  <c r="X22"/>
  <c r="U22"/>
  <c r="R22"/>
  <c r="O22"/>
  <c r="K22"/>
  <c r="I22"/>
  <c r="CF21"/>
  <c r="CE21"/>
  <c r="CD21"/>
  <c r="CA21"/>
  <c r="BX21"/>
  <c r="BU21"/>
  <c r="BO21"/>
  <c r="BP21" s="1"/>
  <c r="BN21"/>
  <c r="BK21"/>
  <c r="BH21"/>
  <c r="AU21"/>
  <c r="AV21" s="1"/>
  <c r="AT21"/>
  <c r="AQ21"/>
  <c r="AN21"/>
  <c r="AK21"/>
  <c r="AH21"/>
  <c r="AE21"/>
  <c r="Y21"/>
  <c r="Z21" s="1"/>
  <c r="X21"/>
  <c r="U21"/>
  <c r="R21"/>
  <c r="O21"/>
  <c r="K21"/>
  <c r="I21"/>
  <c r="CF20"/>
  <c r="CE20"/>
  <c r="CD20"/>
  <c r="CA20"/>
  <c r="BX20"/>
  <c r="BU20"/>
  <c r="BO20"/>
  <c r="BP20" s="1"/>
  <c r="BN20"/>
  <c r="BK20"/>
  <c r="BH20"/>
  <c r="AU20"/>
  <c r="AV20" s="1"/>
  <c r="AT20"/>
  <c r="AQ20"/>
  <c r="AN20"/>
  <c r="AK20"/>
  <c r="AH20"/>
  <c r="AE20"/>
  <c r="Y20"/>
  <c r="Z20" s="1"/>
  <c r="X20"/>
  <c r="U20"/>
  <c r="R20"/>
  <c r="O20"/>
  <c r="K20"/>
  <c r="I20"/>
  <c r="CF19"/>
  <c r="CE19"/>
  <c r="CD19"/>
  <c r="CA19"/>
  <c r="BX19"/>
  <c r="BU19"/>
  <c r="BO19"/>
  <c r="BP19" s="1"/>
  <c r="BN19"/>
  <c r="BK19"/>
  <c r="BH19"/>
  <c r="AU19"/>
  <c r="AV19" s="1"/>
  <c r="AT19"/>
  <c r="AQ19"/>
  <c r="AN19"/>
  <c r="AK19"/>
  <c r="AH19"/>
  <c r="AE19"/>
  <c r="Y19"/>
  <c r="Z19" s="1"/>
  <c r="X19"/>
  <c r="U19"/>
  <c r="R19"/>
  <c r="O19"/>
  <c r="K19"/>
  <c r="I19"/>
  <c r="CF18"/>
  <c r="CE18"/>
  <c r="CD18"/>
  <c r="CA18"/>
  <c r="BX18"/>
  <c r="BU18"/>
  <c r="BO18"/>
  <c r="BP18" s="1"/>
  <c r="BN18"/>
  <c r="BK18"/>
  <c r="BH18"/>
  <c r="AU18"/>
  <c r="AV18" s="1"/>
  <c r="AT18"/>
  <c r="AQ18"/>
  <c r="AN18"/>
  <c r="AK18"/>
  <c r="AH18"/>
  <c r="AE18"/>
  <c r="Y18"/>
  <c r="Z18" s="1"/>
  <c r="X18"/>
  <c r="U18"/>
  <c r="R18"/>
  <c r="O18"/>
  <c r="K18"/>
  <c r="I18"/>
  <c r="CF17"/>
  <c r="CE17"/>
  <c r="CD17"/>
  <c r="CA17"/>
  <c r="BX17"/>
  <c r="BU17"/>
  <c r="BO17"/>
  <c r="BP17" s="1"/>
  <c r="BN17"/>
  <c r="BK17"/>
  <c r="BH17"/>
  <c r="AU17"/>
  <c r="AV17" s="1"/>
  <c r="AT17"/>
  <c r="AQ17"/>
  <c r="AN17"/>
  <c r="AK17"/>
  <c r="AH17"/>
  <c r="AE17"/>
  <c r="Y17"/>
  <c r="Z17" s="1"/>
  <c r="X17"/>
  <c r="U17"/>
  <c r="R17"/>
  <c r="O17"/>
  <c r="K17"/>
  <c r="I17"/>
  <c r="CF16"/>
  <c r="CE16"/>
  <c r="CD16"/>
  <c r="CA16"/>
  <c r="BX16"/>
  <c r="BU16"/>
  <c r="BO16"/>
  <c r="BP16" s="1"/>
  <c r="BN16"/>
  <c r="BK16"/>
  <c r="BH16"/>
  <c r="AU16"/>
  <c r="AV16" s="1"/>
  <c r="AT16"/>
  <c r="AQ16"/>
  <c r="AN16"/>
  <c r="AK16"/>
  <c r="AH16"/>
  <c r="AE16"/>
  <c r="Y16"/>
  <c r="Z16" s="1"/>
  <c r="X16"/>
  <c r="U16"/>
  <c r="R16"/>
  <c r="O16"/>
  <c r="K16"/>
  <c r="I16"/>
  <c r="CF14"/>
  <c r="CE14"/>
  <c r="CD14"/>
  <c r="CA14"/>
  <c r="BX14"/>
  <c r="BU14"/>
  <c r="BO14"/>
  <c r="BP14" s="1"/>
  <c r="BN14"/>
  <c r="BK14"/>
  <c r="BH14"/>
  <c r="AU14"/>
  <c r="AV14" s="1"/>
  <c r="AT14"/>
  <c r="AQ14"/>
  <c r="AN14"/>
  <c r="AK14"/>
  <c r="AH14"/>
  <c r="AE14"/>
  <c r="Y14"/>
  <c r="Z14" s="1"/>
  <c r="X14"/>
  <c r="U14"/>
  <c r="R14"/>
  <c r="O14"/>
  <c r="K14"/>
  <c r="I14"/>
  <c r="CF13"/>
  <c r="CE13"/>
  <c r="CD13"/>
  <c r="CA13"/>
  <c r="BX13"/>
  <c r="BU13"/>
  <c r="BO13"/>
  <c r="BP13" s="1"/>
  <c r="BN13"/>
  <c r="BK13"/>
  <c r="BH13"/>
  <c r="AU13"/>
  <c r="AV13" s="1"/>
  <c r="AT13"/>
  <c r="AQ13"/>
  <c r="AN13"/>
  <c r="AK13"/>
  <c r="AH13"/>
  <c r="AE13"/>
  <c r="Y13"/>
  <c r="Z13" s="1"/>
  <c r="X13"/>
  <c r="U13"/>
  <c r="R13"/>
  <c r="O13"/>
  <c r="K13"/>
  <c r="I13"/>
  <c r="CF12"/>
  <c r="CE12"/>
  <c r="CD12"/>
  <c r="CA12"/>
  <c r="BX12"/>
  <c r="BU12"/>
  <c r="BO12"/>
  <c r="BP12" s="1"/>
  <c r="BN12"/>
  <c r="BK12"/>
  <c r="BH12"/>
  <c r="AU12"/>
  <c r="AV12" s="1"/>
  <c r="AT12"/>
  <c r="AQ12"/>
  <c r="AN12"/>
  <c r="AK12"/>
  <c r="AH12"/>
  <c r="AE12"/>
  <c r="Y12"/>
  <c r="Z12" s="1"/>
  <c r="X12"/>
  <c r="U12"/>
  <c r="R12"/>
  <c r="O12"/>
  <c r="K12"/>
  <c r="I12"/>
  <c r="CF11"/>
  <c r="CE11"/>
  <c r="CD11"/>
  <c r="CA11"/>
  <c r="BX11"/>
  <c r="BU11"/>
  <c r="BO11"/>
  <c r="BP11" s="1"/>
  <c r="BN11"/>
  <c r="BK11"/>
  <c r="BH11"/>
  <c r="AU11"/>
  <c r="AV11" s="1"/>
  <c r="AT11"/>
  <c r="AQ11"/>
  <c r="AN11"/>
  <c r="AK11"/>
  <c r="AH11"/>
  <c r="AE11"/>
  <c r="Y11"/>
  <c r="Z11" s="1"/>
  <c r="X11"/>
  <c r="U11"/>
  <c r="R11"/>
  <c r="O11"/>
  <c r="K11"/>
  <c r="I11"/>
  <c r="CF10"/>
  <c r="CE10"/>
  <c r="CD10"/>
  <c r="CA10"/>
  <c r="BX10"/>
  <c r="BU10"/>
  <c r="BO10"/>
  <c r="BP10" s="1"/>
  <c r="BN10"/>
  <c r="BK10"/>
  <c r="BH10"/>
  <c r="AU10"/>
  <c r="AV10" s="1"/>
  <c r="AT10"/>
  <c r="AQ10"/>
  <c r="AN10"/>
  <c r="AK10"/>
  <c r="AH10"/>
  <c r="AE10"/>
  <c r="Y10"/>
  <c r="Z10" s="1"/>
  <c r="X10"/>
  <c r="U10"/>
  <c r="R10"/>
  <c r="O10"/>
  <c r="K10"/>
  <c r="I10"/>
  <c r="CF9"/>
  <c r="CE9"/>
  <c r="CD9"/>
  <c r="CA9"/>
  <c r="BX9"/>
  <c r="BU9"/>
  <c r="BO9"/>
  <c r="BP9" s="1"/>
  <c r="BN9"/>
  <c r="BK9"/>
  <c r="BH9"/>
  <c r="AU9"/>
  <c r="AV9" s="1"/>
  <c r="AT9"/>
  <c r="AQ9"/>
  <c r="AN9"/>
  <c r="AK9"/>
  <c r="AH9"/>
  <c r="AE9"/>
  <c r="Y9"/>
  <c r="Z9" s="1"/>
  <c r="X9"/>
  <c r="U9"/>
  <c r="R9"/>
  <c r="O9"/>
  <c r="K9"/>
  <c r="I9"/>
  <c r="CF8"/>
  <c r="CE8"/>
  <c r="CD8"/>
  <c r="CA8"/>
  <c r="BX8"/>
  <c r="BU8"/>
  <c r="BO8"/>
  <c r="BP8" s="1"/>
  <c r="BN8"/>
  <c r="BK8"/>
  <c r="BH8"/>
  <c r="AU8"/>
  <c r="AV8" s="1"/>
  <c r="AT8"/>
  <c r="AQ8"/>
  <c r="AN8"/>
  <c r="AK8"/>
  <c r="AH8"/>
  <c r="AE8"/>
  <c r="Y8"/>
  <c r="Z8" s="1"/>
  <c r="X8"/>
  <c r="U8"/>
  <c r="R8"/>
  <c r="O8"/>
  <c r="K8"/>
  <c r="I8"/>
  <c r="CF7"/>
  <c r="CE7"/>
  <c r="CD7"/>
  <c r="CA7"/>
  <c r="BX7"/>
  <c r="BU7"/>
  <c r="BO7"/>
  <c r="BP7" s="1"/>
  <c r="BN7"/>
  <c r="BK7"/>
  <c r="BH7"/>
  <c r="AU7"/>
  <c r="AV7" s="1"/>
  <c r="AT7"/>
  <c r="AQ7"/>
  <c r="AN7"/>
  <c r="AK7"/>
  <c r="AH7"/>
  <c r="AE7"/>
  <c r="Y7"/>
  <c r="Z7" s="1"/>
  <c r="X7"/>
  <c r="U7"/>
  <c r="R7"/>
  <c r="O7"/>
  <c r="K7"/>
  <c r="I7"/>
  <c r="CF6"/>
  <c r="CE6"/>
  <c r="CD6"/>
  <c r="CA6"/>
  <c r="BX6"/>
  <c r="BU6"/>
  <c r="BO6"/>
  <c r="BP6" s="1"/>
  <c r="BN6"/>
  <c r="BK6"/>
  <c r="BH6"/>
  <c r="AU6"/>
  <c r="AV6" s="1"/>
  <c r="AT6"/>
  <c r="AQ6"/>
  <c r="AN6"/>
  <c r="AK6"/>
  <c r="AH6"/>
  <c r="AE6"/>
  <c r="Y6"/>
  <c r="Z6" s="1"/>
  <c r="X6"/>
  <c r="U6"/>
  <c r="R6"/>
  <c r="O6"/>
  <c r="K6"/>
  <c r="I6"/>
  <c r="CF5"/>
  <c r="CE5"/>
  <c r="CD5"/>
  <c r="CA5"/>
  <c r="BX5"/>
  <c r="BU5"/>
  <c r="BO5"/>
  <c r="BP5" s="1"/>
  <c r="BN5"/>
  <c r="BK5"/>
  <c r="BH5"/>
  <c r="AU5"/>
  <c r="AV5" s="1"/>
  <c r="AT5"/>
  <c r="AQ5"/>
  <c r="AN5"/>
  <c r="AK5"/>
  <c r="AH5"/>
  <c r="AE5"/>
  <c r="Y5"/>
  <c r="Z5" s="1"/>
  <c r="X5"/>
  <c r="U5"/>
  <c r="R5"/>
  <c r="O5"/>
  <c r="K5"/>
  <c r="I5"/>
  <c r="CF4"/>
  <c r="CE4"/>
  <c r="CD4"/>
  <c r="CA4"/>
  <c r="BX4"/>
  <c r="BU4"/>
  <c r="BO4"/>
  <c r="BP4" s="1"/>
  <c r="BN4"/>
  <c r="BK4"/>
  <c r="BH4"/>
  <c r="AU4"/>
  <c r="AV4" s="1"/>
  <c r="AT4"/>
  <c r="AQ4"/>
  <c r="AN4"/>
  <c r="AK4"/>
  <c r="AH4"/>
  <c r="AE4"/>
  <c r="Y4"/>
  <c r="Z4" s="1"/>
  <c r="X4"/>
  <c r="U4"/>
  <c r="R4"/>
  <c r="O4"/>
  <c r="K4"/>
  <c r="I4"/>
  <c r="CF3"/>
  <c r="CF34" s="1"/>
  <c r="CE3"/>
  <c r="CD3"/>
  <c r="CD27" s="1"/>
  <c r="CA3"/>
  <c r="CA27" s="1"/>
  <c r="BX3"/>
  <c r="BX27" s="1"/>
  <c r="BU3"/>
  <c r="BU27" s="1"/>
  <c r="BO3"/>
  <c r="BP3" s="1"/>
  <c r="BN3"/>
  <c r="BN27" s="1"/>
  <c r="BK3"/>
  <c r="BK27" s="1"/>
  <c r="BH3"/>
  <c r="BH27" s="1"/>
  <c r="AU3"/>
  <c r="AV3" s="1"/>
  <c r="AT3"/>
  <c r="AT27" s="1"/>
  <c r="AQ3"/>
  <c r="AQ27" s="1"/>
  <c r="AN3"/>
  <c r="AN27" s="1"/>
  <c r="AK3"/>
  <c r="AK27" s="1"/>
  <c r="AH3"/>
  <c r="AH27" s="1"/>
  <c r="AE3"/>
  <c r="AE27" s="1"/>
  <c r="AV27" s="1"/>
  <c r="Y3"/>
  <c r="Z3" s="1"/>
  <c r="X3"/>
  <c r="U3"/>
  <c r="U27" s="1"/>
  <c r="R3"/>
  <c r="O3"/>
  <c r="O27" s="1"/>
  <c r="Z27" s="1"/>
  <c r="K3"/>
  <c r="I3"/>
  <c r="AX27" i="9"/>
  <c r="AV27" s="1"/>
  <c r="AA27"/>
  <c r="Z27" s="1"/>
  <c r="C27"/>
  <c r="D27" s="1"/>
  <c r="C26"/>
  <c r="C25"/>
  <c r="C24"/>
  <c r="D24" s="1"/>
  <c r="C23"/>
  <c r="D23" s="1"/>
  <c r="BE18"/>
  <c r="BB18"/>
  <c r="D18"/>
  <c r="CE16"/>
  <c r="CF16" s="1"/>
  <c r="CD16"/>
  <c r="CA16"/>
  <c r="BX16"/>
  <c r="BU16"/>
  <c r="BP16"/>
  <c r="BO16"/>
  <c r="BN16"/>
  <c r="BK16"/>
  <c r="BH16"/>
  <c r="AV16"/>
  <c r="AU16"/>
  <c r="AT16"/>
  <c r="AQ16"/>
  <c r="AN16"/>
  <c r="AK16"/>
  <c r="AH16"/>
  <c r="AE16"/>
  <c r="Z16"/>
  <c r="Y16"/>
  <c r="AW16" s="1"/>
  <c r="BQ16" s="1"/>
  <c r="CG16" s="1"/>
  <c r="X16"/>
  <c r="U16"/>
  <c r="R16"/>
  <c r="O16"/>
  <c r="K16"/>
  <c r="I16"/>
  <c r="CE15"/>
  <c r="CF15" s="1"/>
  <c r="CD15"/>
  <c r="CA15"/>
  <c r="BX15"/>
  <c r="BU15"/>
  <c r="BP15"/>
  <c r="BO15"/>
  <c r="BN15"/>
  <c r="BK15"/>
  <c r="BH15"/>
  <c r="AV15"/>
  <c r="AU15"/>
  <c r="AT15"/>
  <c r="AQ15"/>
  <c r="AN15"/>
  <c r="AK15"/>
  <c r="AH15"/>
  <c r="AE15"/>
  <c r="Z15"/>
  <c r="Y15"/>
  <c r="AW15" s="1"/>
  <c r="BQ15" s="1"/>
  <c r="CG15" s="1"/>
  <c r="X15"/>
  <c r="U15"/>
  <c r="R15"/>
  <c r="O15"/>
  <c r="K15"/>
  <c r="I15"/>
  <c r="CE14"/>
  <c r="CF14" s="1"/>
  <c r="CD14"/>
  <c r="CA14"/>
  <c r="BX14"/>
  <c r="BU14"/>
  <c r="BO14"/>
  <c r="BN14"/>
  <c r="BK14"/>
  <c r="BH14"/>
  <c r="AU14"/>
  <c r="AV14" s="1"/>
  <c r="AT14"/>
  <c r="AQ14"/>
  <c r="AN14"/>
  <c r="AK14"/>
  <c r="AH14"/>
  <c r="AE14"/>
  <c r="Y14"/>
  <c r="AW14" s="1"/>
  <c r="BQ14" s="1"/>
  <c r="CG14" s="1"/>
  <c r="X14"/>
  <c r="U14"/>
  <c r="R14"/>
  <c r="O14"/>
  <c r="K14"/>
  <c r="I14"/>
  <c r="CF13"/>
  <c r="CE13"/>
  <c r="CD13"/>
  <c r="CA13"/>
  <c r="BX13"/>
  <c r="BU13"/>
  <c r="BO13"/>
  <c r="BN13"/>
  <c r="BK13"/>
  <c r="BH13"/>
  <c r="AV13"/>
  <c r="AU13"/>
  <c r="AT13"/>
  <c r="AQ13"/>
  <c r="AN13"/>
  <c r="AK13"/>
  <c r="AH13"/>
  <c r="AE13"/>
  <c r="Z13"/>
  <c r="Y13"/>
  <c r="AW13" s="1"/>
  <c r="BQ13" s="1"/>
  <c r="CG13" s="1"/>
  <c r="X13"/>
  <c r="U13"/>
  <c r="R13"/>
  <c r="O13"/>
  <c r="K13"/>
  <c r="I13"/>
  <c r="CE12"/>
  <c r="CF12" s="1"/>
  <c r="CD12"/>
  <c r="CA12"/>
  <c r="BX12"/>
  <c r="BU12"/>
  <c r="BO12"/>
  <c r="BN12"/>
  <c r="BK12"/>
  <c r="BH12"/>
  <c r="AU12"/>
  <c r="AV12" s="1"/>
  <c r="AT12"/>
  <c r="AQ12"/>
  <c r="AN12"/>
  <c r="AK12"/>
  <c r="AH12"/>
  <c r="AE12"/>
  <c r="Y12"/>
  <c r="AW12" s="1"/>
  <c r="BQ12" s="1"/>
  <c r="CG12" s="1"/>
  <c r="X12"/>
  <c r="U12"/>
  <c r="R12"/>
  <c r="O12"/>
  <c r="K12"/>
  <c r="I12"/>
  <c r="CF11"/>
  <c r="CE11"/>
  <c r="CD11"/>
  <c r="CA11"/>
  <c r="BX11"/>
  <c r="BU11"/>
  <c r="BO11"/>
  <c r="BP11" s="1"/>
  <c r="BN11"/>
  <c r="BK11"/>
  <c r="BH11"/>
  <c r="AU11"/>
  <c r="AV11" s="1"/>
  <c r="AT11"/>
  <c r="AQ11"/>
  <c r="AN11"/>
  <c r="AK11"/>
  <c r="AH11"/>
  <c r="AE11"/>
  <c r="Y11"/>
  <c r="AW11" s="1"/>
  <c r="BQ11" s="1"/>
  <c r="CG11" s="1"/>
  <c r="X11"/>
  <c r="U11"/>
  <c r="R11"/>
  <c r="O11"/>
  <c r="K11"/>
  <c r="I11"/>
  <c r="CF9"/>
  <c r="CE9"/>
  <c r="CD9"/>
  <c r="CA9"/>
  <c r="BX9"/>
  <c r="BU9"/>
  <c r="BO9"/>
  <c r="BP9" s="1"/>
  <c r="BN9"/>
  <c r="BK9"/>
  <c r="BH9"/>
  <c r="AU9"/>
  <c r="AV9" s="1"/>
  <c r="AT9"/>
  <c r="AQ9"/>
  <c r="AN9"/>
  <c r="AK9"/>
  <c r="AH9"/>
  <c r="AE9"/>
  <c r="Y9"/>
  <c r="AW9" s="1"/>
  <c r="BQ9" s="1"/>
  <c r="CG9" s="1"/>
  <c r="X9"/>
  <c r="U9"/>
  <c r="R9"/>
  <c r="O9"/>
  <c r="K9"/>
  <c r="I9"/>
  <c r="CF8"/>
  <c r="CE8"/>
  <c r="CD8"/>
  <c r="CA8"/>
  <c r="BX8"/>
  <c r="BU8"/>
  <c r="BO8"/>
  <c r="BN8"/>
  <c r="BK8"/>
  <c r="BH8"/>
  <c r="AV8"/>
  <c r="AU8"/>
  <c r="AT8"/>
  <c r="AQ8"/>
  <c r="AN8"/>
  <c r="AK8"/>
  <c r="AH8"/>
  <c r="AE8"/>
  <c r="Z8"/>
  <c r="Y8"/>
  <c r="AW8" s="1"/>
  <c r="BQ8" s="1"/>
  <c r="CG8" s="1"/>
  <c r="X8"/>
  <c r="U8"/>
  <c r="R8"/>
  <c r="O8"/>
  <c r="K8"/>
  <c r="I8"/>
  <c r="CE7"/>
  <c r="CF7" s="1"/>
  <c r="CD7"/>
  <c r="CA7"/>
  <c r="BX7"/>
  <c r="BU7"/>
  <c r="BO7"/>
  <c r="BN7"/>
  <c r="BK7"/>
  <c r="BH7"/>
  <c r="AU7"/>
  <c r="AV7" s="1"/>
  <c r="AT7"/>
  <c r="AQ7"/>
  <c r="AN7"/>
  <c r="AK7"/>
  <c r="AH7"/>
  <c r="AE7"/>
  <c r="Y7"/>
  <c r="AW7" s="1"/>
  <c r="BQ7" s="1"/>
  <c r="CG7" s="1"/>
  <c r="X7"/>
  <c r="U7"/>
  <c r="R7"/>
  <c r="O7"/>
  <c r="K7"/>
  <c r="I7"/>
  <c r="CF6"/>
  <c r="CE6"/>
  <c r="CD6"/>
  <c r="CA6"/>
  <c r="BX6"/>
  <c r="BU6"/>
  <c r="BO6"/>
  <c r="BP6" s="1"/>
  <c r="BN6"/>
  <c r="BK6"/>
  <c r="BH6"/>
  <c r="AU6"/>
  <c r="AV6" s="1"/>
  <c r="AT6"/>
  <c r="AQ6"/>
  <c r="AN6"/>
  <c r="AK6"/>
  <c r="AH6"/>
  <c r="AE6"/>
  <c r="Y6"/>
  <c r="AW6" s="1"/>
  <c r="BQ6" s="1"/>
  <c r="CG6" s="1"/>
  <c r="X6"/>
  <c r="U6"/>
  <c r="R6"/>
  <c r="O6"/>
  <c r="K6"/>
  <c r="I6"/>
  <c r="CF5"/>
  <c r="CE5"/>
  <c r="CD5"/>
  <c r="CA5"/>
  <c r="BX5"/>
  <c r="BU5"/>
  <c r="BO5"/>
  <c r="BP5" s="1"/>
  <c r="BN5"/>
  <c r="BK5"/>
  <c r="BH5"/>
  <c r="AU5"/>
  <c r="AV5" s="1"/>
  <c r="AT5"/>
  <c r="AQ5"/>
  <c r="AN5"/>
  <c r="AK5"/>
  <c r="AH5"/>
  <c r="AE5"/>
  <c r="Y5"/>
  <c r="AW5" s="1"/>
  <c r="BQ5" s="1"/>
  <c r="CG5" s="1"/>
  <c r="X5"/>
  <c r="U5"/>
  <c r="R5"/>
  <c r="O5"/>
  <c r="K5"/>
  <c r="I5"/>
  <c r="CF4"/>
  <c r="CE4"/>
  <c r="CD4"/>
  <c r="CA4"/>
  <c r="BX4"/>
  <c r="BU4"/>
  <c r="BO4"/>
  <c r="BP4" s="1"/>
  <c r="BN4"/>
  <c r="BK4"/>
  <c r="BH4"/>
  <c r="AU4"/>
  <c r="AV4" s="1"/>
  <c r="AT4"/>
  <c r="AQ4"/>
  <c r="AN4"/>
  <c r="AK4"/>
  <c r="AH4"/>
  <c r="AE4"/>
  <c r="Y4"/>
  <c r="AW4" s="1"/>
  <c r="BQ4" s="1"/>
  <c r="CG4" s="1"/>
  <c r="X4"/>
  <c r="U4"/>
  <c r="R4"/>
  <c r="O4"/>
  <c r="K4"/>
  <c r="I4"/>
  <c r="CF3"/>
  <c r="CF25" s="1"/>
  <c r="CE3"/>
  <c r="CD3"/>
  <c r="CD18" s="1"/>
  <c r="CA3"/>
  <c r="CA18" s="1"/>
  <c r="BX3"/>
  <c r="BX18" s="1"/>
  <c r="BU3"/>
  <c r="BU18" s="1"/>
  <c r="BO3"/>
  <c r="BP3" s="1"/>
  <c r="BN3"/>
  <c r="BN18" s="1"/>
  <c r="BK3"/>
  <c r="BK18" s="1"/>
  <c r="BH3"/>
  <c r="BH18" s="1"/>
  <c r="AU3"/>
  <c r="AV3" s="1"/>
  <c r="AT3"/>
  <c r="AT18" s="1"/>
  <c r="AQ3"/>
  <c r="AQ18" s="1"/>
  <c r="AN3"/>
  <c r="AN18" s="1"/>
  <c r="AK3"/>
  <c r="AK18" s="1"/>
  <c r="AH3"/>
  <c r="AH18" s="1"/>
  <c r="AE3"/>
  <c r="AE18" s="1"/>
  <c r="AV18" s="1"/>
  <c r="Y3"/>
  <c r="AW3" s="1"/>
  <c r="BQ3" s="1"/>
  <c r="CG3" s="1"/>
  <c r="X3"/>
  <c r="X18" s="1"/>
  <c r="U3"/>
  <c r="U18" s="1"/>
  <c r="R3"/>
  <c r="R18" s="1"/>
  <c r="O3"/>
  <c r="O18" s="1"/>
  <c r="K3"/>
  <c r="I3"/>
  <c r="BP34" i="8"/>
  <c r="AX34"/>
  <c r="AV34" s="1"/>
  <c r="Z34"/>
  <c r="C34"/>
  <c r="D34" s="1"/>
  <c r="C33"/>
  <c r="C32"/>
  <c r="C31"/>
  <c r="D31" s="1"/>
  <c r="C30"/>
  <c r="D30" s="1"/>
  <c r="BE25"/>
  <c r="BB25"/>
  <c r="D25"/>
  <c r="BN24"/>
  <c r="BK24"/>
  <c r="BH24"/>
  <c r="CE23"/>
  <c r="CF23" s="1"/>
  <c r="CD23"/>
  <c r="CA23"/>
  <c r="BX23"/>
  <c r="BU23"/>
  <c r="BO23"/>
  <c r="BP23" s="1"/>
  <c r="BN23"/>
  <c r="BK23"/>
  <c r="BH23"/>
  <c r="AV23"/>
  <c r="AU23"/>
  <c r="AT23"/>
  <c r="AQ23"/>
  <c r="AN23"/>
  <c r="AK23"/>
  <c r="AH23"/>
  <c r="AE23"/>
  <c r="Y23"/>
  <c r="Z23" s="1"/>
  <c r="X23"/>
  <c r="U23"/>
  <c r="R23"/>
  <c r="O23"/>
  <c r="K23"/>
  <c r="I23"/>
  <c r="CE22"/>
  <c r="CF22" s="1"/>
  <c r="CD22"/>
  <c r="CA22"/>
  <c r="BX22"/>
  <c r="BU22"/>
  <c r="BP22"/>
  <c r="BO22"/>
  <c r="BN22"/>
  <c r="BK22"/>
  <c r="BH22"/>
  <c r="BE22"/>
  <c r="AU22"/>
  <c r="AV22" s="1"/>
  <c r="AT22"/>
  <c r="AQ22"/>
  <c r="AN22"/>
  <c r="AK22"/>
  <c r="AH22"/>
  <c r="AE22"/>
  <c r="Y22"/>
  <c r="X22"/>
  <c r="U22"/>
  <c r="R22"/>
  <c r="O22"/>
  <c r="K22"/>
  <c r="I22"/>
  <c r="CF21"/>
  <c r="CE21"/>
  <c r="CD21"/>
  <c r="CA21"/>
  <c r="BX21"/>
  <c r="BU21"/>
  <c r="BO21"/>
  <c r="BP21" s="1"/>
  <c r="BN21"/>
  <c r="BK21"/>
  <c r="BH21"/>
  <c r="AU21"/>
  <c r="AV21" s="1"/>
  <c r="AT21"/>
  <c r="AQ21"/>
  <c r="AN21"/>
  <c r="AK21"/>
  <c r="AH21"/>
  <c r="AE21"/>
  <c r="Y21"/>
  <c r="X21"/>
  <c r="U21"/>
  <c r="R21"/>
  <c r="O21"/>
  <c r="K21"/>
  <c r="I21"/>
  <c r="CE20"/>
  <c r="CF20" s="1"/>
  <c r="CD20"/>
  <c r="CA20"/>
  <c r="BX20"/>
  <c r="BU20"/>
  <c r="BO20"/>
  <c r="BP20" s="1"/>
  <c r="BN20"/>
  <c r="BK20"/>
  <c r="BH20"/>
  <c r="BB20"/>
  <c r="AU20"/>
  <c r="AV20" s="1"/>
  <c r="AT20"/>
  <c r="AQ20"/>
  <c r="AN20"/>
  <c r="AK20"/>
  <c r="AH20"/>
  <c r="AE20"/>
  <c r="Y20"/>
  <c r="Z20" s="1"/>
  <c r="X20"/>
  <c r="U20"/>
  <c r="R20"/>
  <c r="O20"/>
  <c r="K20"/>
  <c r="I20"/>
  <c r="CE19"/>
  <c r="CF19" s="1"/>
  <c r="CD19"/>
  <c r="CA19"/>
  <c r="BX19"/>
  <c r="BU19"/>
  <c r="BO19"/>
  <c r="BP19" s="1"/>
  <c r="BN19"/>
  <c r="BK19"/>
  <c r="BH19"/>
  <c r="BE19"/>
  <c r="BB19"/>
  <c r="AU19"/>
  <c r="AV19" s="1"/>
  <c r="AT19"/>
  <c r="AQ19"/>
  <c r="AN19"/>
  <c r="AK19"/>
  <c r="AH19"/>
  <c r="AE19"/>
  <c r="Y19"/>
  <c r="Z19" s="1"/>
  <c r="X19"/>
  <c r="U19"/>
  <c r="R19"/>
  <c r="O19"/>
  <c r="K19"/>
  <c r="I19"/>
  <c r="CE18"/>
  <c r="CD18"/>
  <c r="CA18"/>
  <c r="BX18"/>
  <c r="BU18"/>
  <c r="BP18"/>
  <c r="BO18"/>
  <c r="BN18"/>
  <c r="BK18"/>
  <c r="BH18"/>
  <c r="BE18"/>
  <c r="BB18"/>
  <c r="AU18"/>
  <c r="AV18" s="1"/>
  <c r="AT18"/>
  <c r="AQ18"/>
  <c r="AN18"/>
  <c r="AK18"/>
  <c r="AH18"/>
  <c r="AE18"/>
  <c r="Y18"/>
  <c r="AW18" s="1"/>
  <c r="BQ18" s="1"/>
  <c r="CG18" s="1"/>
  <c r="X18"/>
  <c r="U18"/>
  <c r="R18"/>
  <c r="O18"/>
  <c r="K18"/>
  <c r="I18"/>
  <c r="CE17"/>
  <c r="CF17" s="1"/>
  <c r="CD17"/>
  <c r="CA17"/>
  <c r="BX17"/>
  <c r="BU17"/>
  <c r="BP17"/>
  <c r="BO17"/>
  <c r="BN17"/>
  <c r="BK17"/>
  <c r="BH17"/>
  <c r="AU17"/>
  <c r="AT17"/>
  <c r="AQ17"/>
  <c r="AN17"/>
  <c r="AK17"/>
  <c r="AH17"/>
  <c r="AE17"/>
  <c r="Y17"/>
  <c r="AW17" s="1"/>
  <c r="BQ17" s="1"/>
  <c r="CG17" s="1"/>
  <c r="X17"/>
  <c r="U17"/>
  <c r="R17"/>
  <c r="O17"/>
  <c r="K17"/>
  <c r="I17"/>
  <c r="CE16"/>
  <c r="CF16" s="1"/>
  <c r="CD16"/>
  <c r="CA16"/>
  <c r="BX16"/>
  <c r="BU16"/>
  <c r="BO16"/>
  <c r="BP16" s="1"/>
  <c r="BN16"/>
  <c r="BK16"/>
  <c r="BH16"/>
  <c r="BE16"/>
  <c r="BB16"/>
  <c r="AU16"/>
  <c r="AV16" s="1"/>
  <c r="AT16"/>
  <c r="AQ16"/>
  <c r="AN16"/>
  <c r="AK16"/>
  <c r="AH16"/>
  <c r="AE16"/>
  <c r="Y16"/>
  <c r="Z16" s="1"/>
  <c r="X16"/>
  <c r="U16"/>
  <c r="R16"/>
  <c r="O16"/>
  <c r="K16"/>
  <c r="I16"/>
  <c r="CE15"/>
  <c r="CF15" s="1"/>
  <c r="CD15"/>
  <c r="CA15"/>
  <c r="BX15"/>
  <c r="BU15"/>
  <c r="BO15"/>
  <c r="BP15" s="1"/>
  <c r="BN15"/>
  <c r="BK15"/>
  <c r="BH15"/>
  <c r="BE15"/>
  <c r="BB15"/>
  <c r="AU15"/>
  <c r="AV15" s="1"/>
  <c r="AT15"/>
  <c r="AQ15"/>
  <c r="AN15"/>
  <c r="AK15"/>
  <c r="AH15"/>
  <c r="AE15"/>
  <c r="Y15"/>
  <c r="Z15" s="1"/>
  <c r="X15"/>
  <c r="U15"/>
  <c r="R15"/>
  <c r="O15"/>
  <c r="K15"/>
  <c r="I15"/>
  <c r="CE14"/>
  <c r="CF14" s="1"/>
  <c r="CD14"/>
  <c r="CA14"/>
  <c r="BX14"/>
  <c r="BU14"/>
  <c r="BO14"/>
  <c r="BP14" s="1"/>
  <c r="BN14"/>
  <c r="BK14"/>
  <c r="BH14"/>
  <c r="AU14"/>
  <c r="AV14" s="1"/>
  <c r="AT14"/>
  <c r="AQ14"/>
  <c r="AN14"/>
  <c r="AK14"/>
  <c r="AH14"/>
  <c r="AE14"/>
  <c r="Y14"/>
  <c r="Z14" s="1"/>
  <c r="X14"/>
  <c r="U14"/>
  <c r="R14"/>
  <c r="O14"/>
  <c r="K14"/>
  <c r="I14"/>
  <c r="CE12"/>
  <c r="CF12" s="1"/>
  <c r="CD12"/>
  <c r="CA12"/>
  <c r="BX12"/>
  <c r="BU12"/>
  <c r="BO12"/>
  <c r="BN12"/>
  <c r="BK12"/>
  <c r="BH12"/>
  <c r="BE12"/>
  <c r="BB12"/>
  <c r="AU12"/>
  <c r="AV12" s="1"/>
  <c r="AT12"/>
  <c r="AQ12"/>
  <c r="AN12"/>
  <c r="AK12"/>
  <c r="AH12"/>
  <c r="AE12"/>
  <c r="Y12"/>
  <c r="X12"/>
  <c r="U12"/>
  <c r="R12"/>
  <c r="K12"/>
  <c r="I12"/>
  <c r="CE11"/>
  <c r="CF11" s="1"/>
  <c r="CD11"/>
  <c r="CA11"/>
  <c r="BX11"/>
  <c r="BU11"/>
  <c r="BP11"/>
  <c r="BO11"/>
  <c r="BN11"/>
  <c r="BK11"/>
  <c r="BH11"/>
  <c r="BE11"/>
  <c r="BB11"/>
  <c r="AU11"/>
  <c r="AV11" s="1"/>
  <c r="AT11"/>
  <c r="AQ11"/>
  <c r="AN11"/>
  <c r="AK11"/>
  <c r="AH11"/>
  <c r="AE11"/>
  <c r="Y11"/>
  <c r="AW11" s="1"/>
  <c r="BQ11" s="1"/>
  <c r="CG11" s="1"/>
  <c r="X11"/>
  <c r="U11"/>
  <c r="R11"/>
  <c r="O11"/>
  <c r="K11"/>
  <c r="I11"/>
  <c r="CE10"/>
  <c r="CF10" s="1"/>
  <c r="CD10"/>
  <c r="CA10"/>
  <c r="BX10"/>
  <c r="BU10"/>
  <c r="BP10"/>
  <c r="BO10"/>
  <c r="BN10"/>
  <c r="BK10"/>
  <c r="BH10"/>
  <c r="AU10"/>
  <c r="AV10" s="1"/>
  <c r="AT10"/>
  <c r="AQ10"/>
  <c r="AN10"/>
  <c r="AK10"/>
  <c r="AH10"/>
  <c r="AE10"/>
  <c r="Y10"/>
  <c r="AW10" s="1"/>
  <c r="BQ10" s="1"/>
  <c r="CG10" s="1"/>
  <c r="X10"/>
  <c r="U10"/>
  <c r="R10"/>
  <c r="O10"/>
  <c r="K10"/>
  <c r="I10"/>
  <c r="CE9"/>
  <c r="CF9" s="1"/>
  <c r="CD9"/>
  <c r="CA9"/>
  <c r="BX9"/>
  <c r="BU9"/>
  <c r="BP9"/>
  <c r="BO9"/>
  <c r="BN9"/>
  <c r="BK9"/>
  <c r="BH9"/>
  <c r="AU9"/>
  <c r="AV9" s="1"/>
  <c r="AT9"/>
  <c r="AQ9"/>
  <c r="AN9"/>
  <c r="AK9"/>
  <c r="AH9"/>
  <c r="AE9"/>
  <c r="Y9"/>
  <c r="AW9" s="1"/>
  <c r="BQ9" s="1"/>
  <c r="CG9" s="1"/>
  <c r="X9"/>
  <c r="U9"/>
  <c r="R9"/>
  <c r="O9"/>
  <c r="K9"/>
  <c r="I9"/>
  <c r="CE8"/>
  <c r="CF8" s="1"/>
  <c r="CD8"/>
  <c r="CA8"/>
  <c r="BX8"/>
  <c r="BU8"/>
  <c r="BP8"/>
  <c r="BO8"/>
  <c r="BN8"/>
  <c r="BK8"/>
  <c r="BH8"/>
  <c r="BE8"/>
  <c r="BB8"/>
  <c r="AU8"/>
  <c r="AV8" s="1"/>
  <c r="AT8"/>
  <c r="AQ8"/>
  <c r="AN8"/>
  <c r="AK8"/>
  <c r="AH8"/>
  <c r="AE8"/>
  <c r="Y8"/>
  <c r="AW8" s="1"/>
  <c r="BQ8" s="1"/>
  <c r="CG8" s="1"/>
  <c r="X8"/>
  <c r="U8"/>
  <c r="R8"/>
  <c r="O8"/>
  <c r="K8"/>
  <c r="I8"/>
  <c r="CE7"/>
  <c r="CF7" s="1"/>
  <c r="CD7"/>
  <c r="CA7"/>
  <c r="BX7"/>
  <c r="BU7"/>
  <c r="BP7"/>
  <c r="BO7"/>
  <c r="BN7"/>
  <c r="BK7"/>
  <c r="BH7"/>
  <c r="BE7"/>
  <c r="BB7"/>
  <c r="AU7"/>
  <c r="AV7" s="1"/>
  <c r="AT7"/>
  <c r="AQ7"/>
  <c r="AN7"/>
  <c r="AK7"/>
  <c r="AH7"/>
  <c r="AE7"/>
  <c r="Y7"/>
  <c r="AW7" s="1"/>
  <c r="BQ7" s="1"/>
  <c r="CG7" s="1"/>
  <c r="X7"/>
  <c r="U7"/>
  <c r="R7"/>
  <c r="O7"/>
  <c r="K7"/>
  <c r="I7"/>
  <c r="CE6"/>
  <c r="CF6" s="1"/>
  <c r="CD6"/>
  <c r="CA6"/>
  <c r="BX6"/>
  <c r="BU6"/>
  <c r="BP6"/>
  <c r="BO6"/>
  <c r="BN6"/>
  <c r="BK6"/>
  <c r="BH6"/>
  <c r="AU6"/>
  <c r="AV6" s="1"/>
  <c r="AT6"/>
  <c r="AQ6"/>
  <c r="AN6"/>
  <c r="AK6"/>
  <c r="AH6"/>
  <c r="AE6"/>
  <c r="Y6"/>
  <c r="AW6" s="1"/>
  <c r="BQ6" s="1"/>
  <c r="CG6" s="1"/>
  <c r="X6"/>
  <c r="U6"/>
  <c r="R6"/>
  <c r="O6"/>
  <c r="K6"/>
  <c r="I6"/>
  <c r="CE5"/>
  <c r="CF5" s="1"/>
  <c r="CD5"/>
  <c r="CA5"/>
  <c r="BX5"/>
  <c r="BU5"/>
  <c r="BP5"/>
  <c r="BO5"/>
  <c r="BN5"/>
  <c r="BK5"/>
  <c r="BH5"/>
  <c r="AU5"/>
  <c r="AV5" s="1"/>
  <c r="AT5"/>
  <c r="AQ5"/>
  <c r="AN5"/>
  <c r="AK5"/>
  <c r="AH5"/>
  <c r="AE5"/>
  <c r="Y5"/>
  <c r="AW5" s="1"/>
  <c r="BQ5" s="1"/>
  <c r="CG5" s="1"/>
  <c r="X5"/>
  <c r="U5"/>
  <c r="R5"/>
  <c r="O5"/>
  <c r="K5"/>
  <c r="I5"/>
  <c r="CE4"/>
  <c r="CF4" s="1"/>
  <c r="CD4"/>
  <c r="CA4"/>
  <c r="BX4"/>
  <c r="BU4"/>
  <c r="BP4"/>
  <c r="BO4"/>
  <c r="BN4"/>
  <c r="BK4"/>
  <c r="BH4"/>
  <c r="BE4"/>
  <c r="BB4"/>
  <c r="AU4"/>
  <c r="AV4" s="1"/>
  <c r="AT4"/>
  <c r="AQ4"/>
  <c r="AN4"/>
  <c r="AK4"/>
  <c r="AH4"/>
  <c r="AE4"/>
  <c r="Y4"/>
  <c r="AW4" s="1"/>
  <c r="BQ4" s="1"/>
  <c r="CG4" s="1"/>
  <c r="X4"/>
  <c r="U4"/>
  <c r="R4"/>
  <c r="O4"/>
  <c r="K4"/>
  <c r="I4"/>
  <c r="CE3"/>
  <c r="CF3" s="1"/>
  <c r="CD3"/>
  <c r="CD25" s="1"/>
  <c r="CA3"/>
  <c r="CA25" s="1"/>
  <c r="BX3"/>
  <c r="BX25" s="1"/>
  <c r="BU3"/>
  <c r="BU25" s="1"/>
  <c r="BP3"/>
  <c r="BO3"/>
  <c r="BN3"/>
  <c r="BN25" s="1"/>
  <c r="BK3"/>
  <c r="BK25" s="1"/>
  <c r="BH3"/>
  <c r="BH25" s="1"/>
  <c r="AU3"/>
  <c r="AV3" s="1"/>
  <c r="AV31" s="1"/>
  <c r="AT3"/>
  <c r="AT25" s="1"/>
  <c r="AQ3"/>
  <c r="AQ25" s="1"/>
  <c r="AN3"/>
  <c r="AN25" s="1"/>
  <c r="AK3"/>
  <c r="AK25" s="1"/>
  <c r="AH3"/>
  <c r="AH25" s="1"/>
  <c r="AE3"/>
  <c r="AE25" s="1"/>
  <c r="Y3"/>
  <c r="AW3" s="1"/>
  <c r="BQ3" s="1"/>
  <c r="CG3" s="1"/>
  <c r="X3"/>
  <c r="X25" s="1"/>
  <c r="U3"/>
  <c r="U25" s="1"/>
  <c r="R3"/>
  <c r="R25" s="1"/>
  <c r="O3"/>
  <c r="O25" s="1"/>
  <c r="K3"/>
  <c r="I3"/>
  <c r="CF24" i="7"/>
  <c r="BP24"/>
  <c r="AX24"/>
  <c r="AV24" s="1"/>
  <c r="Z24"/>
  <c r="C24"/>
  <c r="D24" s="1"/>
  <c r="C23"/>
  <c r="C22"/>
  <c r="C21"/>
  <c r="D21" s="1"/>
  <c r="C20"/>
  <c r="D20" s="1"/>
  <c r="D15"/>
  <c r="BN14"/>
  <c r="BK14"/>
  <c r="BH14"/>
  <c r="CE13"/>
  <c r="CD13"/>
  <c r="CA13"/>
  <c r="BX13"/>
  <c r="BU13"/>
  <c r="BO13"/>
  <c r="BN13"/>
  <c r="BK13"/>
  <c r="BH13"/>
  <c r="BE13"/>
  <c r="BB13"/>
  <c r="AU13"/>
  <c r="AT13"/>
  <c r="AQ13"/>
  <c r="AN13"/>
  <c r="AK13"/>
  <c r="AH13"/>
  <c r="AE13"/>
  <c r="Y13"/>
  <c r="AW13" s="1"/>
  <c r="BQ13" s="1"/>
  <c r="CG13" s="1"/>
  <c r="X13"/>
  <c r="U13"/>
  <c r="R13"/>
  <c r="O13"/>
  <c r="K13"/>
  <c r="I13"/>
  <c r="CE12"/>
  <c r="CD12"/>
  <c r="CA12"/>
  <c r="BX12"/>
  <c r="BU12"/>
  <c r="BO12"/>
  <c r="BN12"/>
  <c r="BK12"/>
  <c r="BH12"/>
  <c r="BE12"/>
  <c r="BE15" s="1"/>
  <c r="BB12"/>
  <c r="BB15" s="1"/>
  <c r="AU12"/>
  <c r="AT12"/>
  <c r="AQ12"/>
  <c r="AN12"/>
  <c r="AK12"/>
  <c r="AH12"/>
  <c r="AE12"/>
  <c r="Y12"/>
  <c r="AW12" s="1"/>
  <c r="BQ12" s="1"/>
  <c r="CG12" s="1"/>
  <c r="X12"/>
  <c r="U12"/>
  <c r="R12"/>
  <c r="O12"/>
  <c r="K12"/>
  <c r="I12"/>
  <c r="CE11"/>
  <c r="CF11" s="1"/>
  <c r="CD11"/>
  <c r="CA11"/>
  <c r="BX11"/>
  <c r="BU11"/>
  <c r="BO11"/>
  <c r="BP11" s="1"/>
  <c r="BN11"/>
  <c r="BK11"/>
  <c r="BH11"/>
  <c r="AU11"/>
  <c r="AV11" s="1"/>
  <c r="AT11"/>
  <c r="AQ11"/>
  <c r="AN11"/>
  <c r="AK11"/>
  <c r="AH11"/>
  <c r="AE11"/>
  <c r="Y11"/>
  <c r="Z11" s="1"/>
  <c r="X11"/>
  <c r="U11"/>
  <c r="R11"/>
  <c r="O11"/>
  <c r="K11"/>
  <c r="I11"/>
  <c r="CF10"/>
  <c r="CE10"/>
  <c r="CD10"/>
  <c r="CA10"/>
  <c r="BX10"/>
  <c r="BU10"/>
  <c r="BO10"/>
  <c r="BP10" s="1"/>
  <c r="BN10"/>
  <c r="BK10"/>
  <c r="BH10"/>
  <c r="AU10"/>
  <c r="AV10" s="1"/>
  <c r="AT10"/>
  <c r="AQ10"/>
  <c r="AN10"/>
  <c r="AK10"/>
  <c r="AH10"/>
  <c r="AE10"/>
  <c r="Y10"/>
  <c r="Z10" s="1"/>
  <c r="X10"/>
  <c r="U10"/>
  <c r="R10"/>
  <c r="O10"/>
  <c r="K10"/>
  <c r="I10"/>
  <c r="CF9"/>
  <c r="CE9"/>
  <c r="CD9"/>
  <c r="CA9"/>
  <c r="BX9"/>
  <c r="BU9"/>
  <c r="BO9"/>
  <c r="BP9" s="1"/>
  <c r="BN9"/>
  <c r="BK9"/>
  <c r="BH9"/>
  <c r="AV9"/>
  <c r="AU9"/>
  <c r="AT9"/>
  <c r="AQ9"/>
  <c r="AN9"/>
  <c r="AK9"/>
  <c r="AH9"/>
  <c r="AE9"/>
  <c r="Z9"/>
  <c r="Y9"/>
  <c r="AW9" s="1"/>
  <c r="BQ9" s="1"/>
  <c r="CG9" s="1"/>
  <c r="X9"/>
  <c r="U9"/>
  <c r="R9"/>
  <c r="O9"/>
  <c r="K9"/>
  <c r="I9"/>
  <c r="CE7"/>
  <c r="CF7" s="1"/>
  <c r="CD7"/>
  <c r="CA7"/>
  <c r="BX7"/>
  <c r="BU7"/>
  <c r="BP7"/>
  <c r="BO7"/>
  <c r="BN7"/>
  <c r="BK7"/>
  <c r="BH7"/>
  <c r="AV7"/>
  <c r="AU7"/>
  <c r="AT7"/>
  <c r="AQ7"/>
  <c r="AN7"/>
  <c r="AK7"/>
  <c r="AH7"/>
  <c r="AE7"/>
  <c r="Z7"/>
  <c r="Y7"/>
  <c r="AW7" s="1"/>
  <c r="BQ7" s="1"/>
  <c r="CG7" s="1"/>
  <c r="X7"/>
  <c r="U7"/>
  <c r="R7"/>
  <c r="O7"/>
  <c r="K7"/>
  <c r="I7"/>
  <c r="CE6"/>
  <c r="CF6" s="1"/>
  <c r="CD6"/>
  <c r="CA6"/>
  <c r="BX6"/>
  <c r="BU6"/>
  <c r="BP6"/>
  <c r="BO6"/>
  <c r="BN6"/>
  <c r="BK6"/>
  <c r="BH6"/>
  <c r="AV6"/>
  <c r="AU6"/>
  <c r="AT6"/>
  <c r="AQ6"/>
  <c r="AN6"/>
  <c r="AK6"/>
  <c r="AH6"/>
  <c r="AE6"/>
  <c r="Y6"/>
  <c r="Z6" s="1"/>
  <c r="X6"/>
  <c r="U6"/>
  <c r="R6"/>
  <c r="O6"/>
  <c r="K6"/>
  <c r="I6"/>
  <c r="CF5"/>
  <c r="CE5"/>
  <c r="CD5"/>
  <c r="CA5"/>
  <c r="BX5"/>
  <c r="BU5"/>
  <c r="BO5"/>
  <c r="BP5" s="1"/>
  <c r="BN5"/>
  <c r="BK5"/>
  <c r="BH5"/>
  <c r="AU5"/>
  <c r="AV5" s="1"/>
  <c r="AT5"/>
  <c r="AQ5"/>
  <c r="AN5"/>
  <c r="AK5"/>
  <c r="AH5"/>
  <c r="AE5"/>
  <c r="Y5"/>
  <c r="Z5" s="1"/>
  <c r="X5"/>
  <c r="U5"/>
  <c r="R5"/>
  <c r="O5"/>
  <c r="K5"/>
  <c r="I5"/>
  <c r="CF4"/>
  <c r="CE4"/>
  <c r="CD4"/>
  <c r="CA4"/>
  <c r="BX4"/>
  <c r="BU4"/>
  <c r="BO4"/>
  <c r="BP4" s="1"/>
  <c r="BN4"/>
  <c r="BK4"/>
  <c r="BH4"/>
  <c r="AU4"/>
  <c r="AV4" s="1"/>
  <c r="AT4"/>
  <c r="AQ4"/>
  <c r="AN4"/>
  <c r="AK4"/>
  <c r="AH4"/>
  <c r="AE4"/>
  <c r="Y4"/>
  <c r="Z4" s="1"/>
  <c r="X4"/>
  <c r="U4"/>
  <c r="R4"/>
  <c r="O4"/>
  <c r="K4"/>
  <c r="I4"/>
  <c r="CF3"/>
  <c r="CF21" s="1"/>
  <c r="CE3"/>
  <c r="CD3"/>
  <c r="CD15" s="1"/>
  <c r="CA3"/>
  <c r="CA15" s="1"/>
  <c r="BX3"/>
  <c r="BX15" s="1"/>
  <c r="BU3"/>
  <c r="BU15" s="1"/>
  <c r="BO3"/>
  <c r="BP3" s="1"/>
  <c r="BN3"/>
  <c r="BN15" s="1"/>
  <c r="BK3"/>
  <c r="BK15" s="1"/>
  <c r="BH3"/>
  <c r="BH15" s="1"/>
  <c r="AU3"/>
  <c r="AV3" s="1"/>
  <c r="AT3"/>
  <c r="AT15" s="1"/>
  <c r="AQ3"/>
  <c r="AQ15" s="1"/>
  <c r="AN3"/>
  <c r="AN15" s="1"/>
  <c r="AK3"/>
  <c r="AK15" s="1"/>
  <c r="AH3"/>
  <c r="AH15" s="1"/>
  <c r="AE3"/>
  <c r="AE15" s="1"/>
  <c r="AV15" s="1"/>
  <c r="Y3"/>
  <c r="Z3" s="1"/>
  <c r="X3"/>
  <c r="X15" s="1"/>
  <c r="U3"/>
  <c r="U15" s="1"/>
  <c r="R3"/>
  <c r="R15" s="1"/>
  <c r="O3"/>
  <c r="O15" s="1"/>
  <c r="K3"/>
  <c r="I3"/>
  <c r="CF33" i="6"/>
  <c r="AX33"/>
  <c r="AV33" s="1"/>
  <c r="Z33"/>
  <c r="C33"/>
  <c r="D33" s="1"/>
  <c r="C32"/>
  <c r="C31"/>
  <c r="C30"/>
  <c r="D30" s="1"/>
  <c r="C29"/>
  <c r="D29" s="1"/>
  <c r="BB24"/>
  <c r="D24"/>
  <c r="CE22"/>
  <c r="CF22" s="1"/>
  <c r="CD22"/>
  <c r="CA22"/>
  <c r="BX22"/>
  <c r="BU22"/>
  <c r="BP22"/>
  <c r="BO22"/>
  <c r="BN22"/>
  <c r="BK22"/>
  <c r="BH22"/>
  <c r="AV22"/>
  <c r="AU22"/>
  <c r="AT22"/>
  <c r="AQ22"/>
  <c r="AN22"/>
  <c r="AK22"/>
  <c r="AH22"/>
  <c r="AE22"/>
  <c r="Z22"/>
  <c r="Y22"/>
  <c r="AW22" s="1"/>
  <c r="BQ22" s="1"/>
  <c r="CG22" s="1"/>
  <c r="X22"/>
  <c r="U22"/>
  <c r="R22"/>
  <c r="O22"/>
  <c r="K22"/>
  <c r="I22"/>
  <c r="CE21"/>
  <c r="CF21" s="1"/>
  <c r="CD21"/>
  <c r="CA21"/>
  <c r="BX21"/>
  <c r="BU21"/>
  <c r="BP21"/>
  <c r="BO21"/>
  <c r="BN21"/>
  <c r="BK21"/>
  <c r="BH21"/>
  <c r="AV21"/>
  <c r="AU21"/>
  <c r="AT21"/>
  <c r="AQ21"/>
  <c r="AN21"/>
  <c r="AK21"/>
  <c r="AH21"/>
  <c r="AE21"/>
  <c r="Z21"/>
  <c r="Y21"/>
  <c r="AW21" s="1"/>
  <c r="BQ21" s="1"/>
  <c r="CG21" s="1"/>
  <c r="X21"/>
  <c r="U21"/>
  <c r="R21"/>
  <c r="O21"/>
  <c r="K21"/>
  <c r="I21"/>
  <c r="CE20"/>
  <c r="CF20" s="1"/>
  <c r="CD20"/>
  <c r="CA20"/>
  <c r="BX20"/>
  <c r="BU20"/>
  <c r="BP20"/>
  <c r="BO20"/>
  <c r="BN20"/>
  <c r="BK20"/>
  <c r="BH20"/>
  <c r="BE20"/>
  <c r="AU20"/>
  <c r="AV20" s="1"/>
  <c r="AT20"/>
  <c r="AQ20"/>
  <c r="AN20"/>
  <c r="AK20"/>
  <c r="AH20"/>
  <c r="AE20"/>
  <c r="Y20"/>
  <c r="Z20" s="1"/>
  <c r="X20"/>
  <c r="U20"/>
  <c r="R20"/>
  <c r="O20"/>
  <c r="K20"/>
  <c r="I20"/>
  <c r="CF19"/>
  <c r="CE19"/>
  <c r="CD19"/>
  <c r="CA19"/>
  <c r="BX19"/>
  <c r="BU19"/>
  <c r="BO19"/>
  <c r="BP19" s="1"/>
  <c r="BN19"/>
  <c r="BK19"/>
  <c r="BH19"/>
  <c r="BE19"/>
  <c r="AV19"/>
  <c r="AU19"/>
  <c r="AT19"/>
  <c r="AQ19"/>
  <c r="AN19"/>
  <c r="AK19"/>
  <c r="AH19"/>
  <c r="AE19"/>
  <c r="Z19"/>
  <c r="Y19"/>
  <c r="AW19" s="1"/>
  <c r="BQ19" s="1"/>
  <c r="CG19" s="1"/>
  <c r="X19"/>
  <c r="U19"/>
  <c r="R19"/>
  <c r="O19"/>
  <c r="K19"/>
  <c r="I19"/>
  <c r="CE18"/>
  <c r="CF18" s="1"/>
  <c r="CD18"/>
  <c r="CA18"/>
  <c r="BX18"/>
  <c r="BU18"/>
  <c r="BP18"/>
  <c r="BO18"/>
  <c r="BN18"/>
  <c r="BK18"/>
  <c r="BH18"/>
  <c r="AV18"/>
  <c r="AU18"/>
  <c r="AT18"/>
  <c r="AQ18"/>
  <c r="AN18"/>
  <c r="AK18"/>
  <c r="AH18"/>
  <c r="AE18"/>
  <c r="Z18"/>
  <c r="Y18"/>
  <c r="AW18" s="1"/>
  <c r="BQ18" s="1"/>
  <c r="CG18" s="1"/>
  <c r="X18"/>
  <c r="U18"/>
  <c r="R18"/>
  <c r="O18"/>
  <c r="K18"/>
  <c r="I18"/>
  <c r="CE17"/>
  <c r="CF17" s="1"/>
  <c r="CD17"/>
  <c r="CA17"/>
  <c r="BX17"/>
  <c r="BU17"/>
  <c r="BP17"/>
  <c r="BO17"/>
  <c r="BN17"/>
  <c r="BK17"/>
  <c r="BH17"/>
  <c r="AV17"/>
  <c r="AU17"/>
  <c r="AT17"/>
  <c r="AQ17"/>
  <c r="AN17"/>
  <c r="AK17"/>
  <c r="AH17"/>
  <c r="AE17"/>
  <c r="Z17"/>
  <c r="Y17"/>
  <c r="AW17" s="1"/>
  <c r="BQ17" s="1"/>
  <c r="CG17" s="1"/>
  <c r="X17"/>
  <c r="U17"/>
  <c r="R17"/>
  <c r="O17"/>
  <c r="K17"/>
  <c r="I17"/>
  <c r="CE16"/>
  <c r="CF16" s="1"/>
  <c r="CD16"/>
  <c r="CA16"/>
  <c r="BX16"/>
  <c r="BU16"/>
  <c r="BP16"/>
  <c r="BO16"/>
  <c r="BN16"/>
  <c r="BK16"/>
  <c r="BH16"/>
  <c r="AV16"/>
  <c r="AU16"/>
  <c r="AT16"/>
  <c r="AQ16"/>
  <c r="AN16"/>
  <c r="AK16"/>
  <c r="AH16"/>
  <c r="AE16"/>
  <c r="Z16"/>
  <c r="Y16"/>
  <c r="AW16" s="1"/>
  <c r="BQ16" s="1"/>
  <c r="CG16" s="1"/>
  <c r="X16"/>
  <c r="U16"/>
  <c r="R16"/>
  <c r="O16"/>
  <c r="K16"/>
  <c r="I16"/>
  <c r="CE15"/>
  <c r="CF15" s="1"/>
  <c r="CD15"/>
  <c r="CA15"/>
  <c r="BX15"/>
  <c r="BU15"/>
  <c r="BP15"/>
  <c r="BO15"/>
  <c r="BN15"/>
  <c r="BK15"/>
  <c r="BH15"/>
  <c r="BE15"/>
  <c r="AU15"/>
  <c r="AV15" s="1"/>
  <c r="AT15"/>
  <c r="AQ15"/>
  <c r="AN15"/>
  <c r="AK15"/>
  <c r="AH15"/>
  <c r="AE15"/>
  <c r="Y15"/>
  <c r="Z15" s="1"/>
  <c r="X15"/>
  <c r="U15"/>
  <c r="R15"/>
  <c r="O15"/>
  <c r="K15"/>
  <c r="I15"/>
  <c r="CF14"/>
  <c r="CE14"/>
  <c r="CD14"/>
  <c r="CA14"/>
  <c r="BX14"/>
  <c r="BU14"/>
  <c r="BO14"/>
  <c r="BP14" s="1"/>
  <c r="BN14"/>
  <c r="BK14"/>
  <c r="BH14"/>
  <c r="BE14"/>
  <c r="AV14"/>
  <c r="AU14"/>
  <c r="AT14"/>
  <c r="AQ14"/>
  <c r="AN14"/>
  <c r="AK14"/>
  <c r="AH14"/>
  <c r="AE14"/>
  <c r="Z14"/>
  <c r="Y14"/>
  <c r="AW14" s="1"/>
  <c r="BQ14" s="1"/>
  <c r="CG14" s="1"/>
  <c r="X14"/>
  <c r="U14"/>
  <c r="R14"/>
  <c r="O14"/>
  <c r="K14"/>
  <c r="I14"/>
  <c r="CE13"/>
  <c r="CF13" s="1"/>
  <c r="CD13"/>
  <c r="CA13"/>
  <c r="BX13"/>
  <c r="BU13"/>
  <c r="BP13"/>
  <c r="BO13"/>
  <c r="BN13"/>
  <c r="BK13"/>
  <c r="BH13"/>
  <c r="AV13"/>
  <c r="AU13"/>
  <c r="AT13"/>
  <c r="AQ13"/>
  <c r="AN13"/>
  <c r="AK13"/>
  <c r="AH13"/>
  <c r="AE13"/>
  <c r="Z13"/>
  <c r="Y13"/>
  <c r="AW13" s="1"/>
  <c r="BQ13" s="1"/>
  <c r="CG13" s="1"/>
  <c r="X13"/>
  <c r="U13"/>
  <c r="R13"/>
  <c r="O13"/>
  <c r="K13"/>
  <c r="I13"/>
  <c r="CE11"/>
  <c r="CF11" s="1"/>
  <c r="CD11"/>
  <c r="CA11"/>
  <c r="BX11"/>
  <c r="BU11"/>
  <c r="BP11"/>
  <c r="BO11"/>
  <c r="BN11"/>
  <c r="BK11"/>
  <c r="BH11"/>
  <c r="BE11"/>
  <c r="AU11"/>
  <c r="AV11" s="1"/>
  <c r="AT11"/>
  <c r="AQ11"/>
  <c r="AN11"/>
  <c r="AK11"/>
  <c r="AH11"/>
  <c r="AE11"/>
  <c r="Y11"/>
  <c r="Z11" s="1"/>
  <c r="X11"/>
  <c r="U11"/>
  <c r="R11"/>
  <c r="O11"/>
  <c r="K11"/>
  <c r="I11"/>
  <c r="CF10"/>
  <c r="CE10"/>
  <c r="CD10"/>
  <c r="CA10"/>
  <c r="BX10"/>
  <c r="BU10"/>
  <c r="BO10"/>
  <c r="BP10" s="1"/>
  <c r="BN10"/>
  <c r="BK10"/>
  <c r="BH10"/>
  <c r="BE10"/>
  <c r="AV10"/>
  <c r="AU10"/>
  <c r="AT10"/>
  <c r="AQ10"/>
  <c r="AN10"/>
  <c r="AK10"/>
  <c r="AH10"/>
  <c r="AE10"/>
  <c r="Z10"/>
  <c r="Y10"/>
  <c r="AW10" s="1"/>
  <c r="BQ10" s="1"/>
  <c r="CG10" s="1"/>
  <c r="X10"/>
  <c r="U10"/>
  <c r="R10"/>
  <c r="O10"/>
  <c r="K10"/>
  <c r="I10"/>
  <c r="CE9"/>
  <c r="CF9" s="1"/>
  <c r="CD9"/>
  <c r="CA9"/>
  <c r="BX9"/>
  <c r="BU9"/>
  <c r="BP9"/>
  <c r="BO9"/>
  <c r="BN9"/>
  <c r="BK9"/>
  <c r="BH9"/>
  <c r="BE9"/>
  <c r="AU9"/>
  <c r="AV9" s="1"/>
  <c r="AT9"/>
  <c r="AQ9"/>
  <c r="AN9"/>
  <c r="AK9"/>
  <c r="AH9"/>
  <c r="AE9"/>
  <c r="Y9"/>
  <c r="Z9" s="1"/>
  <c r="X9"/>
  <c r="U9"/>
  <c r="R9"/>
  <c r="O9"/>
  <c r="K9"/>
  <c r="I9"/>
  <c r="CF8"/>
  <c r="CE8"/>
  <c r="CD8"/>
  <c r="CA8"/>
  <c r="BX8"/>
  <c r="BU8"/>
  <c r="BO8"/>
  <c r="BP8" s="1"/>
  <c r="BN8"/>
  <c r="BK8"/>
  <c r="BH8"/>
  <c r="BE8"/>
  <c r="AV8"/>
  <c r="AU8"/>
  <c r="AT8"/>
  <c r="AQ8"/>
  <c r="AN8"/>
  <c r="AK8"/>
  <c r="AH8"/>
  <c r="AE8"/>
  <c r="Z8"/>
  <c r="Y8"/>
  <c r="AW8" s="1"/>
  <c r="BQ8" s="1"/>
  <c r="CG8" s="1"/>
  <c r="X8"/>
  <c r="U8"/>
  <c r="R8"/>
  <c r="O8"/>
  <c r="CE7"/>
  <c r="CF7" s="1"/>
  <c r="CD7"/>
  <c r="CA7"/>
  <c r="BX7"/>
  <c r="BU7"/>
  <c r="BP7"/>
  <c r="BO7"/>
  <c r="BN7"/>
  <c r="BK7"/>
  <c r="BH7"/>
  <c r="AV7"/>
  <c r="AU7"/>
  <c r="AT7"/>
  <c r="AQ7"/>
  <c r="AN7"/>
  <c r="AK7"/>
  <c r="AH7"/>
  <c r="AE7"/>
  <c r="Z7"/>
  <c r="Y7"/>
  <c r="AW7" s="1"/>
  <c r="BQ7" s="1"/>
  <c r="CG7" s="1"/>
  <c r="X7"/>
  <c r="U7"/>
  <c r="R7"/>
  <c r="O7"/>
  <c r="K7"/>
  <c r="I7"/>
  <c r="CE6"/>
  <c r="CF6" s="1"/>
  <c r="CD6"/>
  <c r="CA6"/>
  <c r="BX6"/>
  <c r="BU6"/>
  <c r="BP6"/>
  <c r="BO6"/>
  <c r="BN6"/>
  <c r="BK6"/>
  <c r="BH6"/>
  <c r="AV6"/>
  <c r="AU6"/>
  <c r="AT6"/>
  <c r="AQ6"/>
  <c r="AN6"/>
  <c r="AK6"/>
  <c r="AH6"/>
  <c r="AE6"/>
  <c r="Z6"/>
  <c r="Y6"/>
  <c r="AW6" s="1"/>
  <c r="BQ6" s="1"/>
  <c r="CG6" s="1"/>
  <c r="X6"/>
  <c r="U6"/>
  <c r="R6"/>
  <c r="O6"/>
  <c r="K6"/>
  <c r="I6"/>
  <c r="CE5"/>
  <c r="CF5" s="1"/>
  <c r="CD5"/>
  <c r="CA5"/>
  <c r="BX5"/>
  <c r="BU5"/>
  <c r="BP5"/>
  <c r="BO5"/>
  <c r="BN5"/>
  <c r="BK5"/>
  <c r="BH5"/>
  <c r="BE5"/>
  <c r="AU5"/>
  <c r="AV5" s="1"/>
  <c r="AT5"/>
  <c r="AQ5"/>
  <c r="AN5"/>
  <c r="AK5"/>
  <c r="AH5"/>
  <c r="AE5"/>
  <c r="Y5"/>
  <c r="Z5" s="1"/>
  <c r="X5"/>
  <c r="U5"/>
  <c r="R5"/>
  <c r="O5"/>
  <c r="K5"/>
  <c r="I5"/>
  <c r="CF4"/>
  <c r="CE4"/>
  <c r="CD4"/>
  <c r="CA4"/>
  <c r="BX4"/>
  <c r="BU4"/>
  <c r="BO4"/>
  <c r="BP4" s="1"/>
  <c r="BN4"/>
  <c r="BK4"/>
  <c r="BH4"/>
  <c r="BE4"/>
  <c r="BE24" s="1"/>
  <c r="AV4"/>
  <c r="AU4"/>
  <c r="AT4"/>
  <c r="AQ4"/>
  <c r="AN4"/>
  <c r="AK4"/>
  <c r="AH4"/>
  <c r="AE4"/>
  <c r="Z4"/>
  <c r="Y4"/>
  <c r="AW4" s="1"/>
  <c r="BQ4" s="1"/>
  <c r="CG4" s="1"/>
  <c r="X4"/>
  <c r="U4"/>
  <c r="R4"/>
  <c r="O4"/>
  <c r="K4"/>
  <c r="I4"/>
  <c r="CE3"/>
  <c r="CF3" s="1"/>
  <c r="CD3"/>
  <c r="CD24" s="1"/>
  <c r="CA3"/>
  <c r="CA24" s="1"/>
  <c r="BX3"/>
  <c r="BX24" s="1"/>
  <c r="BU3"/>
  <c r="BU24" s="1"/>
  <c r="CF24" s="1"/>
  <c r="BP3"/>
  <c r="BP31" s="1"/>
  <c r="BO3"/>
  <c r="BN3"/>
  <c r="BN24" s="1"/>
  <c r="BK3"/>
  <c r="BK24" s="1"/>
  <c r="BH3"/>
  <c r="BH24" s="1"/>
  <c r="AV3"/>
  <c r="AV30" s="1"/>
  <c r="AU3"/>
  <c r="AT3"/>
  <c r="AT24" s="1"/>
  <c r="AQ3"/>
  <c r="AQ24" s="1"/>
  <c r="AN3"/>
  <c r="AN24" s="1"/>
  <c r="AK3"/>
  <c r="AK24" s="1"/>
  <c r="AH3"/>
  <c r="AH24" s="1"/>
  <c r="AE3"/>
  <c r="AE24" s="1"/>
  <c r="AV24" s="1"/>
  <c r="Z3"/>
  <c r="Z31" s="1"/>
  <c r="Y3"/>
  <c r="AW3" s="1"/>
  <c r="BQ3" s="1"/>
  <c r="CG3" s="1"/>
  <c r="X3"/>
  <c r="X24" s="1"/>
  <c r="U3"/>
  <c r="U24" s="1"/>
  <c r="R3"/>
  <c r="R24" s="1"/>
  <c r="O3"/>
  <c r="O24" s="1"/>
  <c r="Z24" s="1"/>
  <c r="K3"/>
  <c r="I3"/>
  <c r="CF33" i="5"/>
  <c r="AX33"/>
  <c r="AV33" s="1"/>
  <c r="Z33"/>
  <c r="C33"/>
  <c r="D33" s="1"/>
  <c r="C32"/>
  <c r="C31"/>
  <c r="C30"/>
  <c r="D30" s="1"/>
  <c r="C29"/>
  <c r="D29" s="1"/>
  <c r="D24"/>
  <c r="CE22"/>
  <c r="CD22"/>
  <c r="CA22"/>
  <c r="BX22"/>
  <c r="BU22"/>
  <c r="BO22"/>
  <c r="BP22" s="1"/>
  <c r="BN22"/>
  <c r="BK22"/>
  <c r="BH22"/>
  <c r="BE22"/>
  <c r="BB22"/>
  <c r="AU22"/>
  <c r="AV22" s="1"/>
  <c r="AT22"/>
  <c r="AQ22"/>
  <c r="AN22"/>
  <c r="AK22"/>
  <c r="AH22"/>
  <c r="AE22"/>
  <c r="Y22"/>
  <c r="Z22" s="1"/>
  <c r="X22"/>
  <c r="U22"/>
  <c r="R22"/>
  <c r="O22"/>
  <c r="K22"/>
  <c r="I22"/>
  <c r="CF21"/>
  <c r="CE21"/>
  <c r="CD21"/>
  <c r="CA21"/>
  <c r="BX21"/>
  <c r="BU21"/>
  <c r="BO21"/>
  <c r="BP21" s="1"/>
  <c r="BN21"/>
  <c r="BK21"/>
  <c r="BH21"/>
  <c r="AU21"/>
  <c r="AV21" s="1"/>
  <c r="AT21"/>
  <c r="AQ21"/>
  <c r="AN21"/>
  <c r="AK21"/>
  <c r="AH21"/>
  <c r="AE21"/>
  <c r="Y21"/>
  <c r="Z21" s="1"/>
  <c r="X21"/>
  <c r="U21"/>
  <c r="R21"/>
  <c r="O21"/>
  <c r="K21"/>
  <c r="I21"/>
  <c r="CF20"/>
  <c r="CE20"/>
  <c r="CD20"/>
  <c r="CA20"/>
  <c r="BX20"/>
  <c r="BU20"/>
  <c r="BO20"/>
  <c r="BP20" s="1"/>
  <c r="BN20"/>
  <c r="BK20"/>
  <c r="BH20"/>
  <c r="BE20"/>
  <c r="BB20"/>
  <c r="AU20"/>
  <c r="AV20" s="1"/>
  <c r="AT20"/>
  <c r="AQ20"/>
  <c r="AN20"/>
  <c r="AK20"/>
  <c r="AH20"/>
  <c r="AE20"/>
  <c r="Y20"/>
  <c r="Z20" s="1"/>
  <c r="X20"/>
  <c r="U20"/>
  <c r="R20"/>
  <c r="O20"/>
  <c r="K20"/>
  <c r="I20"/>
  <c r="CF19"/>
  <c r="CE19"/>
  <c r="CD19"/>
  <c r="CA19"/>
  <c r="BX19"/>
  <c r="BU19"/>
  <c r="BO19"/>
  <c r="BP19" s="1"/>
  <c r="BN19"/>
  <c r="BK19"/>
  <c r="BH19"/>
  <c r="AU19"/>
  <c r="AV19" s="1"/>
  <c r="AT19"/>
  <c r="AQ19"/>
  <c r="AN19"/>
  <c r="AK19"/>
  <c r="AH19"/>
  <c r="AE19"/>
  <c r="Y19"/>
  <c r="Z19" s="1"/>
  <c r="X19"/>
  <c r="U19"/>
  <c r="R19"/>
  <c r="O19"/>
  <c r="K19"/>
  <c r="I19"/>
  <c r="CF18"/>
  <c r="CE18"/>
  <c r="CD18"/>
  <c r="CA18"/>
  <c r="BX18"/>
  <c r="BU18"/>
  <c r="BO18"/>
  <c r="BP18" s="1"/>
  <c r="BN18"/>
  <c r="BK18"/>
  <c r="BH18"/>
  <c r="AU18"/>
  <c r="AV18" s="1"/>
  <c r="AT18"/>
  <c r="AQ18"/>
  <c r="AN18"/>
  <c r="AK18"/>
  <c r="AH18"/>
  <c r="AE18"/>
  <c r="Y18"/>
  <c r="Z18" s="1"/>
  <c r="X18"/>
  <c r="U18"/>
  <c r="R18"/>
  <c r="O18"/>
  <c r="K18"/>
  <c r="I18"/>
  <c r="CF17"/>
  <c r="CE17"/>
  <c r="CD17"/>
  <c r="CA17"/>
  <c r="BX17"/>
  <c r="BU17"/>
  <c r="BO17"/>
  <c r="BP17" s="1"/>
  <c r="BN17"/>
  <c r="BK17"/>
  <c r="BH17"/>
  <c r="AU17"/>
  <c r="AV17" s="1"/>
  <c r="AT17"/>
  <c r="AQ17"/>
  <c r="AN17"/>
  <c r="AK17"/>
  <c r="AH17"/>
  <c r="AE17"/>
  <c r="Y17"/>
  <c r="Z17" s="1"/>
  <c r="X17"/>
  <c r="U17"/>
  <c r="R17"/>
  <c r="O17"/>
  <c r="K17"/>
  <c r="I17"/>
  <c r="CF16"/>
  <c r="CE16"/>
  <c r="CD16"/>
  <c r="CA16"/>
  <c r="BX16"/>
  <c r="BU16"/>
  <c r="BO16"/>
  <c r="BP16" s="1"/>
  <c r="BN16"/>
  <c r="BK16"/>
  <c r="BH16"/>
  <c r="AU16"/>
  <c r="AV16" s="1"/>
  <c r="AT16"/>
  <c r="AQ16"/>
  <c r="AN16"/>
  <c r="AK16"/>
  <c r="AH16"/>
  <c r="AE16"/>
  <c r="Y16"/>
  <c r="Z16" s="1"/>
  <c r="X16"/>
  <c r="U16"/>
  <c r="R16"/>
  <c r="O16"/>
  <c r="K16"/>
  <c r="I16"/>
  <c r="CF15"/>
  <c r="CE15"/>
  <c r="CD15"/>
  <c r="CA15"/>
  <c r="BX15"/>
  <c r="BU15"/>
  <c r="BO15"/>
  <c r="BP15" s="1"/>
  <c r="BN15"/>
  <c r="BK15"/>
  <c r="BH15"/>
  <c r="BE15"/>
  <c r="AV15"/>
  <c r="AU15"/>
  <c r="AT15"/>
  <c r="AQ15"/>
  <c r="AN15"/>
  <c r="AK15"/>
  <c r="AH15"/>
  <c r="AE15"/>
  <c r="Z15"/>
  <c r="Y15"/>
  <c r="AW15" s="1"/>
  <c r="BQ15" s="1"/>
  <c r="CG15" s="1"/>
  <c r="X15"/>
  <c r="U15"/>
  <c r="R15"/>
  <c r="O15"/>
  <c r="K15"/>
  <c r="I15"/>
  <c r="CE14"/>
  <c r="CF14" s="1"/>
  <c r="CD14"/>
  <c r="CA14"/>
  <c r="BX14"/>
  <c r="BU14"/>
  <c r="BP14"/>
  <c r="BO14"/>
  <c r="BN14"/>
  <c r="BK14"/>
  <c r="BH14"/>
  <c r="BE14"/>
  <c r="BB14"/>
  <c r="AV14"/>
  <c r="AU14"/>
  <c r="AT14"/>
  <c r="AQ14"/>
  <c r="AN14"/>
  <c r="AK14"/>
  <c r="AH14"/>
  <c r="AE14"/>
  <c r="Z14"/>
  <c r="Y14"/>
  <c r="AW14" s="1"/>
  <c r="BQ14" s="1"/>
  <c r="CG14" s="1"/>
  <c r="X14"/>
  <c r="U14"/>
  <c r="R14"/>
  <c r="O14"/>
  <c r="K14"/>
  <c r="I14"/>
  <c r="CE13"/>
  <c r="CF13" s="1"/>
  <c r="CD13"/>
  <c r="CA13"/>
  <c r="BX13"/>
  <c r="BU13"/>
  <c r="BP13"/>
  <c r="BO13"/>
  <c r="BN13"/>
  <c r="BK13"/>
  <c r="BH13"/>
  <c r="AV13"/>
  <c r="AU13"/>
  <c r="AT13"/>
  <c r="AQ13"/>
  <c r="AN13"/>
  <c r="AK13"/>
  <c r="AH13"/>
  <c r="AE13"/>
  <c r="Z13"/>
  <c r="Y13"/>
  <c r="AW13" s="1"/>
  <c r="BQ13" s="1"/>
  <c r="CG13" s="1"/>
  <c r="X13"/>
  <c r="U13"/>
  <c r="R13"/>
  <c r="O13"/>
  <c r="K13"/>
  <c r="I13"/>
  <c r="CE12"/>
  <c r="CF12" s="1"/>
  <c r="CD12"/>
  <c r="CA12"/>
  <c r="BX12"/>
  <c r="BU12"/>
  <c r="BP12"/>
  <c r="BO12"/>
  <c r="BN12"/>
  <c r="BK12"/>
  <c r="BH12"/>
  <c r="AV12"/>
  <c r="AU12"/>
  <c r="AT12"/>
  <c r="AQ12"/>
  <c r="AN12"/>
  <c r="AK12"/>
  <c r="AH12"/>
  <c r="AE12"/>
  <c r="Z12"/>
  <c r="Y12"/>
  <c r="AW12" s="1"/>
  <c r="BQ12" s="1"/>
  <c r="CG12" s="1"/>
  <c r="X12"/>
  <c r="U12"/>
  <c r="R12"/>
  <c r="O12"/>
  <c r="K12"/>
  <c r="I12"/>
  <c r="CE11"/>
  <c r="CF11" s="1"/>
  <c r="CD11"/>
  <c r="CA11"/>
  <c r="BX11"/>
  <c r="BU11"/>
  <c r="BP11"/>
  <c r="BO11"/>
  <c r="BN11"/>
  <c r="BK11"/>
  <c r="BH11"/>
  <c r="AV11"/>
  <c r="AU11"/>
  <c r="AT11"/>
  <c r="AQ11"/>
  <c r="AN11"/>
  <c r="AK11"/>
  <c r="AH11"/>
  <c r="AE11"/>
  <c r="Z11"/>
  <c r="Y11"/>
  <c r="AW11" s="1"/>
  <c r="BQ11" s="1"/>
  <c r="CG11" s="1"/>
  <c r="X11"/>
  <c r="U11"/>
  <c r="R11"/>
  <c r="O11"/>
  <c r="K11"/>
  <c r="I11"/>
  <c r="CE10"/>
  <c r="CF10" s="1"/>
  <c r="CD10"/>
  <c r="CA10"/>
  <c r="BX10"/>
  <c r="BU10"/>
  <c r="BP10"/>
  <c r="BO10"/>
  <c r="BN10"/>
  <c r="BK10"/>
  <c r="BH10"/>
  <c r="BE10"/>
  <c r="AU10"/>
  <c r="AV10" s="1"/>
  <c r="AT10"/>
  <c r="AQ10"/>
  <c r="AN10"/>
  <c r="AK10"/>
  <c r="AH10"/>
  <c r="AE10"/>
  <c r="Y10"/>
  <c r="Z10" s="1"/>
  <c r="X10"/>
  <c r="U10"/>
  <c r="R10"/>
  <c r="O10"/>
  <c r="K10"/>
  <c r="I10"/>
  <c r="CF9"/>
  <c r="CE9"/>
  <c r="CD9"/>
  <c r="CA9"/>
  <c r="BX9"/>
  <c r="BU9"/>
  <c r="BO9"/>
  <c r="BP9" s="1"/>
  <c r="BN9"/>
  <c r="BK9"/>
  <c r="BH9"/>
  <c r="AU9"/>
  <c r="AV9" s="1"/>
  <c r="AT9"/>
  <c r="AQ9"/>
  <c r="AN9"/>
  <c r="AK9"/>
  <c r="AH9"/>
  <c r="AE9"/>
  <c r="Y9"/>
  <c r="Z9" s="1"/>
  <c r="X9"/>
  <c r="U9"/>
  <c r="R9"/>
  <c r="O9"/>
  <c r="K9"/>
  <c r="I9"/>
  <c r="BP8"/>
  <c r="CE7"/>
  <c r="CF7" s="1"/>
  <c r="CD7"/>
  <c r="CA7"/>
  <c r="BX7"/>
  <c r="BU7"/>
  <c r="BP7"/>
  <c r="BO7"/>
  <c r="BN7"/>
  <c r="BK7"/>
  <c r="BH7"/>
  <c r="BE7"/>
  <c r="BB7"/>
  <c r="BB24" s="1"/>
  <c r="AV7"/>
  <c r="AU7"/>
  <c r="AT7"/>
  <c r="AQ7"/>
  <c r="AN7"/>
  <c r="AK7"/>
  <c r="AH7"/>
  <c r="AE7"/>
  <c r="Z7"/>
  <c r="Y7"/>
  <c r="AW7" s="1"/>
  <c r="BQ7" s="1"/>
  <c r="CG7" s="1"/>
  <c r="X7"/>
  <c r="U7"/>
  <c r="R7"/>
  <c r="O7"/>
  <c r="K7"/>
  <c r="I7"/>
  <c r="CE6"/>
  <c r="CF6" s="1"/>
  <c r="CD6"/>
  <c r="CA6"/>
  <c r="BX6"/>
  <c r="BU6"/>
  <c r="BP6"/>
  <c r="BO6"/>
  <c r="BN6"/>
  <c r="BK6"/>
  <c r="BH6"/>
  <c r="BE6"/>
  <c r="BE24" s="1"/>
  <c r="AU6"/>
  <c r="AV6" s="1"/>
  <c r="AT6"/>
  <c r="AQ6"/>
  <c r="AN6"/>
  <c r="AK6"/>
  <c r="AH6"/>
  <c r="AE6"/>
  <c r="Y6"/>
  <c r="Z6" s="1"/>
  <c r="X6"/>
  <c r="U6"/>
  <c r="R6"/>
  <c r="O6"/>
  <c r="K6"/>
  <c r="I6"/>
  <c r="CF5"/>
  <c r="CE5"/>
  <c r="CD5"/>
  <c r="CA5"/>
  <c r="BX5"/>
  <c r="BU5"/>
  <c r="BO5"/>
  <c r="BP5" s="1"/>
  <c r="BN5"/>
  <c r="BK5"/>
  <c r="BH5"/>
  <c r="AU5"/>
  <c r="AV5" s="1"/>
  <c r="AT5"/>
  <c r="AQ5"/>
  <c r="AN5"/>
  <c r="AK5"/>
  <c r="AH5"/>
  <c r="AE5"/>
  <c r="Y5"/>
  <c r="Z5" s="1"/>
  <c r="X5"/>
  <c r="U5"/>
  <c r="R5"/>
  <c r="O5"/>
  <c r="K5"/>
  <c r="I5"/>
  <c r="CF4"/>
  <c r="CE4"/>
  <c r="CD4"/>
  <c r="CA4"/>
  <c r="BX4"/>
  <c r="BU4"/>
  <c r="BO4"/>
  <c r="BP4" s="1"/>
  <c r="BN4"/>
  <c r="BK4"/>
  <c r="BH4"/>
  <c r="AU4"/>
  <c r="AV4" s="1"/>
  <c r="AT4"/>
  <c r="AQ4"/>
  <c r="AN4"/>
  <c r="AK4"/>
  <c r="AH4"/>
  <c r="AE4"/>
  <c r="Y4"/>
  <c r="Z4" s="1"/>
  <c r="X4"/>
  <c r="U4"/>
  <c r="R4"/>
  <c r="O4"/>
  <c r="K4"/>
  <c r="I4"/>
  <c r="CF3"/>
  <c r="CF30" s="1"/>
  <c r="CE3"/>
  <c r="CD3"/>
  <c r="CD24" s="1"/>
  <c r="CA3"/>
  <c r="CA24" s="1"/>
  <c r="BX3"/>
  <c r="BX24" s="1"/>
  <c r="BU3"/>
  <c r="BU24" s="1"/>
  <c r="BO3"/>
  <c r="BP3" s="1"/>
  <c r="BN3"/>
  <c r="BN24" s="1"/>
  <c r="BK3"/>
  <c r="BK24" s="1"/>
  <c r="BH3"/>
  <c r="BH24" s="1"/>
  <c r="AU3"/>
  <c r="AV3" s="1"/>
  <c r="AT3"/>
  <c r="AT24" s="1"/>
  <c r="AQ3"/>
  <c r="AQ24" s="1"/>
  <c r="AN3"/>
  <c r="AN24" s="1"/>
  <c r="AK3"/>
  <c r="AK24" s="1"/>
  <c r="AH3"/>
  <c r="AH24" s="1"/>
  <c r="AE3"/>
  <c r="AE24" s="1"/>
  <c r="AV24" s="1"/>
  <c r="Y3"/>
  <c r="Z3" s="1"/>
  <c r="X3"/>
  <c r="X24" s="1"/>
  <c r="U3"/>
  <c r="U24" s="1"/>
  <c r="R3"/>
  <c r="R24" s="1"/>
  <c r="O3"/>
  <c r="O24" s="1"/>
  <c r="K3"/>
  <c r="I3"/>
  <c r="I3" i="4"/>
  <c r="K3"/>
  <c r="O3"/>
  <c r="R3"/>
  <c r="U3"/>
  <c r="X3"/>
  <c r="Y3"/>
  <c r="Z3" s="1"/>
  <c r="AE3"/>
  <c r="AH3"/>
  <c r="AK3"/>
  <c r="AN3"/>
  <c r="AQ3"/>
  <c r="AT3"/>
  <c r="AU3"/>
  <c r="AV3" s="1"/>
  <c r="AW3"/>
  <c r="BB3"/>
  <c r="BE3"/>
  <c r="BH3"/>
  <c r="BK3"/>
  <c r="BN3"/>
  <c r="BO3"/>
  <c r="BP3" s="1"/>
  <c r="BQ3"/>
  <c r="CG3" s="1"/>
  <c r="BU3"/>
  <c r="BX3"/>
  <c r="CA3"/>
  <c r="CD3"/>
  <c r="CE3"/>
  <c r="CF3"/>
  <c r="I4"/>
  <c r="K4"/>
  <c r="O4"/>
  <c r="R4"/>
  <c r="U4"/>
  <c r="X4"/>
  <c r="Y4"/>
  <c r="Z4" s="1"/>
  <c r="AE4"/>
  <c r="AH4"/>
  <c r="AK4"/>
  <c r="AN4"/>
  <c r="AQ4"/>
  <c r="AT4"/>
  <c r="AU4"/>
  <c r="AV4" s="1"/>
  <c r="AW4"/>
  <c r="BB4"/>
  <c r="BE4"/>
  <c r="BH4"/>
  <c r="BK4"/>
  <c r="BN4"/>
  <c r="BO4"/>
  <c r="BP4" s="1"/>
  <c r="BQ4"/>
  <c r="BU4"/>
  <c r="BX4"/>
  <c r="CA4"/>
  <c r="CD4"/>
  <c r="CE4"/>
  <c r="CF4"/>
  <c r="CG4"/>
  <c r="I5"/>
  <c r="K5"/>
  <c r="O5"/>
  <c r="R5"/>
  <c r="U5"/>
  <c r="X5"/>
  <c r="Y5"/>
  <c r="Z5" s="1"/>
  <c r="AE5"/>
  <c r="AH5"/>
  <c r="AK5"/>
  <c r="AN5"/>
  <c r="AQ5"/>
  <c r="AT5"/>
  <c r="AU5"/>
  <c r="AV5" s="1"/>
  <c r="AW5"/>
  <c r="BH5"/>
  <c r="BK5"/>
  <c r="BN5"/>
  <c r="BO5"/>
  <c r="BP5" s="1"/>
  <c r="BQ5"/>
  <c r="CG5" s="1"/>
  <c r="BU5"/>
  <c r="BX5"/>
  <c r="CA5"/>
  <c r="CD5"/>
  <c r="CE5"/>
  <c r="CF5"/>
  <c r="I6"/>
  <c r="K6"/>
  <c r="O6"/>
  <c r="R6"/>
  <c r="U6"/>
  <c r="X6"/>
  <c r="Y6"/>
  <c r="Z6" s="1"/>
  <c r="AE6"/>
  <c r="AH6"/>
  <c r="AK6"/>
  <c r="AN6"/>
  <c r="AQ6"/>
  <c r="AT6"/>
  <c r="AU6"/>
  <c r="AV6" s="1"/>
  <c r="AW6"/>
  <c r="BB6"/>
  <c r="BE6"/>
  <c r="BH6"/>
  <c r="BK6"/>
  <c r="BN6"/>
  <c r="BO6"/>
  <c r="BP6" s="1"/>
  <c r="BQ6"/>
  <c r="CG6" s="1"/>
  <c r="BU6"/>
  <c r="BX6"/>
  <c r="CA6"/>
  <c r="CD6"/>
  <c r="CE6"/>
  <c r="CF6"/>
  <c r="I7"/>
  <c r="K7"/>
  <c r="O7"/>
  <c r="R7"/>
  <c r="U7"/>
  <c r="X7"/>
  <c r="Y7"/>
  <c r="Z7" s="1"/>
  <c r="AE7"/>
  <c r="AH7"/>
  <c r="AK7"/>
  <c r="AN7"/>
  <c r="AQ7"/>
  <c r="AT7"/>
  <c r="AU7"/>
  <c r="AV7" s="1"/>
  <c r="AW7"/>
  <c r="BB7"/>
  <c r="BE7"/>
  <c r="BH7"/>
  <c r="BK7"/>
  <c r="BN7"/>
  <c r="BO7"/>
  <c r="BP7" s="1"/>
  <c r="BQ7"/>
  <c r="CG7" s="1"/>
  <c r="BU7"/>
  <c r="BX7"/>
  <c r="CA7"/>
  <c r="CD7"/>
  <c r="CE7"/>
  <c r="CF7"/>
  <c r="I9"/>
  <c r="K9"/>
  <c r="O9"/>
  <c r="R9"/>
  <c r="U9"/>
  <c r="X9"/>
  <c r="Y9"/>
  <c r="Z9" s="1"/>
  <c r="AE9"/>
  <c r="AH9"/>
  <c r="AK9"/>
  <c r="AN9"/>
  <c r="AQ9"/>
  <c r="AT9"/>
  <c r="AU9"/>
  <c r="AV9" s="1"/>
  <c r="AW9"/>
  <c r="BH9"/>
  <c r="BK9"/>
  <c r="BN9"/>
  <c r="BO9"/>
  <c r="BP9" s="1"/>
  <c r="BQ9"/>
  <c r="CG9" s="1"/>
  <c r="BU9"/>
  <c r="BX9"/>
  <c r="CA9"/>
  <c r="CD9"/>
  <c r="CE9"/>
  <c r="CF9"/>
  <c r="I10"/>
  <c r="K10"/>
  <c r="O10"/>
  <c r="R10"/>
  <c r="U10"/>
  <c r="X10"/>
  <c r="Y10"/>
  <c r="Z10" s="1"/>
  <c r="AE10"/>
  <c r="AH10"/>
  <c r="AK10"/>
  <c r="AN10"/>
  <c r="AQ10"/>
  <c r="AT10"/>
  <c r="AU10"/>
  <c r="AV10" s="1"/>
  <c r="AW10"/>
  <c r="BB10"/>
  <c r="BE10"/>
  <c r="BH10"/>
  <c r="BK10"/>
  <c r="BN10"/>
  <c r="BO10"/>
  <c r="BP10" s="1"/>
  <c r="BQ10"/>
  <c r="CG10" s="1"/>
  <c r="BU10"/>
  <c r="BX10"/>
  <c r="CA10"/>
  <c r="CD10"/>
  <c r="CE10"/>
  <c r="CF10"/>
  <c r="I11"/>
  <c r="K11"/>
  <c r="O11"/>
  <c r="R11"/>
  <c r="U11"/>
  <c r="X11"/>
  <c r="Y11"/>
  <c r="Z11" s="1"/>
  <c r="AE11"/>
  <c r="AH11"/>
  <c r="AK11"/>
  <c r="AN11"/>
  <c r="AQ11"/>
  <c r="AT11"/>
  <c r="AU11"/>
  <c r="AV11" s="1"/>
  <c r="AW11"/>
  <c r="BH11"/>
  <c r="BK11"/>
  <c r="BN11"/>
  <c r="BO11"/>
  <c r="BP11" s="1"/>
  <c r="BQ11"/>
  <c r="CG11" s="1"/>
  <c r="BU11"/>
  <c r="BX11"/>
  <c r="CA11"/>
  <c r="CD11"/>
  <c r="CE11"/>
  <c r="CF11"/>
  <c r="I12"/>
  <c r="K12"/>
  <c r="O12"/>
  <c r="R12"/>
  <c r="U12"/>
  <c r="X12"/>
  <c r="Y12"/>
  <c r="Z12" s="1"/>
  <c r="AE12"/>
  <c r="AH12"/>
  <c r="AK12"/>
  <c r="AN12"/>
  <c r="AQ12"/>
  <c r="AT12"/>
  <c r="AU12"/>
  <c r="AV12" s="1"/>
  <c r="AW12"/>
  <c r="BH12"/>
  <c r="BK12"/>
  <c r="BN12"/>
  <c r="BO12"/>
  <c r="BP12" s="1"/>
  <c r="BQ12"/>
  <c r="CG12" s="1"/>
  <c r="BU12"/>
  <c r="BX12"/>
  <c r="CA12"/>
  <c r="CD12"/>
  <c r="CE12"/>
  <c r="CF12"/>
  <c r="I13"/>
  <c r="K13"/>
  <c r="O13"/>
  <c r="R13"/>
  <c r="U13"/>
  <c r="X13"/>
  <c r="Y13"/>
  <c r="Z13" s="1"/>
  <c r="AE13"/>
  <c r="AH13"/>
  <c r="AK13"/>
  <c r="AN13"/>
  <c r="AQ13"/>
  <c r="AT13"/>
  <c r="AU13"/>
  <c r="AV13" s="1"/>
  <c r="AW13"/>
  <c r="BH13"/>
  <c r="BK13"/>
  <c r="BN13"/>
  <c r="BO13"/>
  <c r="BP13" s="1"/>
  <c r="BQ13"/>
  <c r="CG13" s="1"/>
  <c r="BU13"/>
  <c r="BX13"/>
  <c r="CA13"/>
  <c r="CD13"/>
  <c r="CE13"/>
  <c r="CF13"/>
  <c r="D15"/>
  <c r="O15"/>
  <c r="R15"/>
  <c r="Z15" s="1"/>
  <c r="CG15" s="1"/>
  <c r="U15"/>
  <c r="X15"/>
  <c r="AE15"/>
  <c r="AH15"/>
  <c r="AK15"/>
  <c r="AN15"/>
  <c r="AQ15"/>
  <c r="AT15"/>
  <c r="AV15"/>
  <c r="BB15"/>
  <c r="BE15"/>
  <c r="BH15"/>
  <c r="BK15"/>
  <c r="BN15"/>
  <c r="BP15"/>
  <c r="BU15"/>
  <c r="BX15"/>
  <c r="CF15" s="1"/>
  <c r="CA15"/>
  <c r="CD15"/>
  <c r="CF18"/>
  <c r="CF25" s="1"/>
  <c r="CF19"/>
  <c r="C20"/>
  <c r="D20"/>
  <c r="CF20"/>
  <c r="C21"/>
  <c r="CF21"/>
  <c r="C22"/>
  <c r="CF22"/>
  <c r="C23"/>
  <c r="D21" s="1"/>
  <c r="C24"/>
  <c r="D24"/>
  <c r="Z24"/>
  <c r="AV24"/>
  <c r="AX24"/>
  <c r="Z3" i="8" l="1"/>
  <c r="CF25"/>
  <c r="Z4"/>
  <c r="Z5"/>
  <c r="Z6"/>
  <c r="Z7"/>
  <c r="Z8"/>
  <c r="Z9"/>
  <c r="Z10"/>
  <c r="Z11"/>
  <c r="AW12"/>
  <c r="BQ12" s="1"/>
  <c r="CG12" s="1"/>
  <c r="Z18"/>
  <c r="AW21"/>
  <c r="BQ21" s="1"/>
  <c r="CG21" s="1"/>
  <c r="AW22"/>
  <c r="BQ22" s="1"/>
  <c r="CG22" s="1"/>
  <c r="BP32"/>
  <c r="CI31" i="13"/>
  <c r="CI30"/>
  <c r="CI29"/>
  <c r="CI28"/>
  <c r="CI27"/>
  <c r="BR20"/>
  <c r="CJ20" s="1"/>
  <c r="CK20" s="1"/>
  <c r="AX20"/>
  <c r="BR3"/>
  <c r="CJ3" s="1"/>
  <c r="CK3" s="1"/>
  <c r="AX3"/>
  <c r="BR4"/>
  <c r="CJ4" s="1"/>
  <c r="CK4" s="1"/>
  <c r="AX4"/>
  <c r="BR5"/>
  <c r="CJ5" s="1"/>
  <c r="CK5" s="1"/>
  <c r="AX5"/>
  <c r="BR6"/>
  <c r="CJ6" s="1"/>
  <c r="CK6" s="1"/>
  <c r="AX6"/>
  <c r="BR7"/>
  <c r="CJ7" s="1"/>
  <c r="CK7" s="1"/>
  <c r="AX7"/>
  <c r="BR8"/>
  <c r="CJ8" s="1"/>
  <c r="CK8" s="1"/>
  <c r="AX8"/>
  <c r="BR9"/>
  <c r="CJ9" s="1"/>
  <c r="CK9" s="1"/>
  <c r="AX9"/>
  <c r="BR10"/>
  <c r="CJ10" s="1"/>
  <c r="CK10" s="1"/>
  <c r="AX10"/>
  <c r="BR12"/>
  <c r="CJ12" s="1"/>
  <c r="CK12" s="1"/>
  <c r="AX12"/>
  <c r="BR13"/>
  <c r="CJ13" s="1"/>
  <c r="CK13" s="1"/>
  <c r="AX13"/>
  <c r="BR14"/>
  <c r="CJ14" s="1"/>
  <c r="CK14" s="1"/>
  <c r="AX14"/>
  <c r="BR15"/>
  <c r="CJ15" s="1"/>
  <c r="CK15" s="1"/>
  <c r="AX15"/>
  <c r="BR16"/>
  <c r="CJ16" s="1"/>
  <c r="CK16" s="1"/>
  <c r="AX16"/>
  <c r="BR17"/>
  <c r="CJ17" s="1"/>
  <c r="CK17" s="1"/>
  <c r="AX17"/>
  <c r="BR18"/>
  <c r="CJ18" s="1"/>
  <c r="CK18" s="1"/>
  <c r="AX18"/>
  <c r="BR19"/>
  <c r="CJ19" s="1"/>
  <c r="CK19" s="1"/>
  <c r="AX19"/>
  <c r="BR21"/>
  <c r="CJ21" s="1"/>
  <c r="CK21" s="1"/>
  <c r="AX21"/>
  <c r="Z24"/>
  <c r="AX24" s="1"/>
  <c r="BQ24"/>
  <c r="CI24" s="1"/>
  <c r="Z3"/>
  <c r="CG3"/>
  <c r="Z4"/>
  <c r="CG4"/>
  <c r="Z5"/>
  <c r="CG5"/>
  <c r="Z6"/>
  <c r="CG6"/>
  <c r="Z7"/>
  <c r="CG7"/>
  <c r="Z8"/>
  <c r="CG8"/>
  <c r="Z9"/>
  <c r="CG9"/>
  <c r="Z10"/>
  <c r="CG10"/>
  <c r="Z12"/>
  <c r="CG12"/>
  <c r="Z13"/>
  <c r="CG13"/>
  <c r="Z14"/>
  <c r="CG14"/>
  <c r="Z15"/>
  <c r="CG15"/>
  <c r="Z16"/>
  <c r="CG16"/>
  <c r="Z17"/>
  <c r="CG17"/>
  <c r="BQ18"/>
  <c r="BQ30" s="1"/>
  <c r="AV19"/>
  <c r="CG19"/>
  <c r="BQ20"/>
  <c r="BQ21"/>
  <c r="BQ31"/>
  <c r="BQ27"/>
  <c r="BQ28"/>
  <c r="BQ29"/>
  <c r="CI24" i="12"/>
  <c r="CI23"/>
  <c r="CI22"/>
  <c r="CI21"/>
  <c r="CI20"/>
  <c r="BR3"/>
  <c r="CJ3" s="1"/>
  <c r="CK3" s="1"/>
  <c r="AX3"/>
  <c r="BR4"/>
  <c r="CJ4" s="1"/>
  <c r="CK4" s="1"/>
  <c r="AX4"/>
  <c r="BR5"/>
  <c r="CJ5" s="1"/>
  <c r="CK5" s="1"/>
  <c r="AX5"/>
  <c r="BR6"/>
  <c r="CJ6" s="1"/>
  <c r="CK6" s="1"/>
  <c r="AX6"/>
  <c r="BR7"/>
  <c r="CJ7" s="1"/>
  <c r="CK7" s="1"/>
  <c r="AX7"/>
  <c r="BR9"/>
  <c r="CJ9" s="1"/>
  <c r="CK9" s="1"/>
  <c r="AX9"/>
  <c r="BR10"/>
  <c r="CJ10" s="1"/>
  <c r="CK10" s="1"/>
  <c r="AX10"/>
  <c r="BR11"/>
  <c r="CJ11" s="1"/>
  <c r="CK11" s="1"/>
  <c r="AX11"/>
  <c r="BR12"/>
  <c r="CJ12" s="1"/>
  <c r="CK12" s="1"/>
  <c r="AX12"/>
  <c r="BR13"/>
  <c r="CJ13" s="1"/>
  <c r="CK13" s="1"/>
  <c r="AX13"/>
  <c r="BR14"/>
  <c r="CJ14" s="1"/>
  <c r="CK14" s="1"/>
  <c r="AX14"/>
  <c r="BR15"/>
  <c r="CJ15" s="1"/>
  <c r="CK15" s="1"/>
  <c r="AX15"/>
  <c r="CG17"/>
  <c r="Z17"/>
  <c r="AV17"/>
  <c r="BQ17"/>
  <c r="BQ3"/>
  <c r="BQ4"/>
  <c r="BQ5"/>
  <c r="BQ6"/>
  <c r="BQ7"/>
  <c r="BQ9"/>
  <c r="BQ10"/>
  <c r="BQ11"/>
  <c r="BQ12"/>
  <c r="BQ13"/>
  <c r="BQ14"/>
  <c r="BQ15"/>
  <c r="Z24"/>
  <c r="Z20"/>
  <c r="Z21"/>
  <c r="Z22"/>
  <c r="CF22" i="11"/>
  <c r="CF21"/>
  <c r="CF20"/>
  <c r="CF19"/>
  <c r="CF18"/>
  <c r="BP15"/>
  <c r="Z15"/>
  <c r="AV15"/>
  <c r="AV18"/>
  <c r="AV19"/>
  <c r="AV20"/>
  <c r="AV21"/>
  <c r="Z22"/>
  <c r="BP22"/>
  <c r="Z18"/>
  <c r="BP18"/>
  <c r="Z19"/>
  <c r="BP19"/>
  <c r="Z20"/>
  <c r="BP20"/>
  <c r="Z33" i="10"/>
  <c r="Z32"/>
  <c r="Z31"/>
  <c r="Z30"/>
  <c r="Z34"/>
  <c r="CF27"/>
  <c r="BP27"/>
  <c r="CG27" s="1"/>
  <c r="AV34"/>
  <c r="AV33"/>
  <c r="AV32"/>
  <c r="AV31"/>
  <c r="AV30"/>
  <c r="BP33"/>
  <c r="BP32"/>
  <c r="BP31"/>
  <c r="BP30"/>
  <c r="BP34"/>
  <c r="AW3"/>
  <c r="BQ3" s="1"/>
  <c r="CG3" s="1"/>
  <c r="AW4"/>
  <c r="BQ4" s="1"/>
  <c r="CG4" s="1"/>
  <c r="AW5"/>
  <c r="BQ5" s="1"/>
  <c r="CG5" s="1"/>
  <c r="AW6"/>
  <c r="BQ6" s="1"/>
  <c r="CG6" s="1"/>
  <c r="AW7"/>
  <c r="BQ7" s="1"/>
  <c r="CG7" s="1"/>
  <c r="AW8"/>
  <c r="BQ8" s="1"/>
  <c r="CG8" s="1"/>
  <c r="AW9"/>
  <c r="BQ9" s="1"/>
  <c r="CG9" s="1"/>
  <c r="AW10"/>
  <c r="BQ10" s="1"/>
  <c r="CG10" s="1"/>
  <c r="AW11"/>
  <c r="BQ11" s="1"/>
  <c r="CG11" s="1"/>
  <c r="AW12"/>
  <c r="BQ12" s="1"/>
  <c r="CG12" s="1"/>
  <c r="AW13"/>
  <c r="BQ13" s="1"/>
  <c r="CG13" s="1"/>
  <c r="AW14"/>
  <c r="BQ14" s="1"/>
  <c r="CG14" s="1"/>
  <c r="AW16"/>
  <c r="BQ16" s="1"/>
  <c r="CG16" s="1"/>
  <c r="AW17"/>
  <c r="BQ17" s="1"/>
  <c r="CG17" s="1"/>
  <c r="AW18"/>
  <c r="BQ18" s="1"/>
  <c r="CG18" s="1"/>
  <c r="AW19"/>
  <c r="BQ19" s="1"/>
  <c r="CG19" s="1"/>
  <c r="AW20"/>
  <c r="BQ20" s="1"/>
  <c r="CG20" s="1"/>
  <c r="AW21"/>
  <c r="BQ21" s="1"/>
  <c r="CG21" s="1"/>
  <c r="AW22"/>
  <c r="BQ22" s="1"/>
  <c r="CG22" s="1"/>
  <c r="AW23"/>
  <c r="BQ23" s="1"/>
  <c r="CG23" s="1"/>
  <c r="AW24"/>
  <c r="BQ24" s="1"/>
  <c r="CG24" s="1"/>
  <c r="AW25"/>
  <c r="BQ25" s="1"/>
  <c r="CG25" s="1"/>
  <c r="CF30"/>
  <c r="CF31"/>
  <c r="CF32"/>
  <c r="CF33"/>
  <c r="Z18" i="9"/>
  <c r="CF18"/>
  <c r="BP18"/>
  <c r="AV25"/>
  <c r="AV24"/>
  <c r="AV23"/>
  <c r="AV22"/>
  <c r="AV21"/>
  <c r="BP24"/>
  <c r="BP23"/>
  <c r="BP22"/>
  <c r="BP21"/>
  <c r="BP25"/>
  <c r="Z3"/>
  <c r="Z4"/>
  <c r="Z5"/>
  <c r="Z6"/>
  <c r="Z7"/>
  <c r="Z9"/>
  <c r="Z11"/>
  <c r="Z12"/>
  <c r="Z14"/>
  <c r="CF21"/>
  <c r="CF22"/>
  <c r="CF23"/>
  <c r="CF24"/>
  <c r="CF31" i="8"/>
  <c r="CF30"/>
  <c r="CF29"/>
  <c r="CF28"/>
  <c r="CF32"/>
  <c r="BP25"/>
  <c r="Z25"/>
  <c r="AV25"/>
  <c r="AW14"/>
  <c r="BQ14" s="1"/>
  <c r="CG14" s="1"/>
  <c r="AW15"/>
  <c r="BQ15" s="1"/>
  <c r="CG15" s="1"/>
  <c r="AW16"/>
  <c r="BQ16" s="1"/>
  <c r="CG16" s="1"/>
  <c r="AW19"/>
  <c r="BQ19" s="1"/>
  <c r="CG19" s="1"/>
  <c r="AW20"/>
  <c r="BQ20" s="1"/>
  <c r="CG20" s="1"/>
  <c r="Z21"/>
  <c r="Z22"/>
  <c r="AW23"/>
  <c r="BQ23" s="1"/>
  <c r="CG23" s="1"/>
  <c r="BP28"/>
  <c r="BP29"/>
  <c r="BP30"/>
  <c r="BP31"/>
  <c r="AV32"/>
  <c r="Z17"/>
  <c r="Z32" s="1"/>
  <c r="AV28"/>
  <c r="AV29"/>
  <c r="AV30"/>
  <c r="Z22" i="7"/>
  <c r="Z21"/>
  <c r="Z20"/>
  <c r="Z19"/>
  <c r="Z18"/>
  <c r="Z15"/>
  <c r="CF15"/>
  <c r="BP15"/>
  <c r="AV21"/>
  <c r="AV20"/>
  <c r="AV19"/>
  <c r="AV18"/>
  <c r="AV22"/>
  <c r="BP22"/>
  <c r="BP21"/>
  <c r="BP20"/>
  <c r="BP19"/>
  <c r="BP18"/>
  <c r="AW3"/>
  <c r="BQ3" s="1"/>
  <c r="CG3" s="1"/>
  <c r="AW4"/>
  <c r="BQ4" s="1"/>
  <c r="CG4" s="1"/>
  <c r="AW5"/>
  <c r="BQ5" s="1"/>
  <c r="CG5" s="1"/>
  <c r="AW6"/>
  <c r="BQ6" s="1"/>
  <c r="CG6" s="1"/>
  <c r="AW10"/>
  <c r="BQ10" s="1"/>
  <c r="CG10" s="1"/>
  <c r="AW11"/>
  <c r="BQ11" s="1"/>
  <c r="CG11" s="1"/>
  <c r="CF22"/>
  <c r="CF18"/>
  <c r="CF19"/>
  <c r="CF20"/>
  <c r="CF30" i="6"/>
  <c r="CF29"/>
  <c r="CF28"/>
  <c r="CF27"/>
  <c r="CF31"/>
  <c r="BP24"/>
  <c r="CG24" s="1"/>
  <c r="AW5"/>
  <c r="BQ5" s="1"/>
  <c r="CG5" s="1"/>
  <c r="AW9"/>
  <c r="BQ9" s="1"/>
  <c r="CG9" s="1"/>
  <c r="AW11"/>
  <c r="BQ11" s="1"/>
  <c r="CG11" s="1"/>
  <c r="AW15"/>
  <c r="BQ15" s="1"/>
  <c r="CG15" s="1"/>
  <c r="AW20"/>
  <c r="BQ20" s="1"/>
  <c r="CG20" s="1"/>
  <c r="Z27"/>
  <c r="BP27"/>
  <c r="Z28"/>
  <c r="BP28"/>
  <c r="Z29"/>
  <c r="BP29"/>
  <c r="Z30"/>
  <c r="BP30"/>
  <c r="AV31"/>
  <c r="AV27"/>
  <c r="AV28"/>
  <c r="AV29"/>
  <c r="AV30" i="5"/>
  <c r="AV29"/>
  <c r="AV28"/>
  <c r="AV27"/>
  <c r="AV31"/>
  <c r="BP31"/>
  <c r="BP30"/>
  <c r="BP29"/>
  <c r="BP28"/>
  <c r="BP27"/>
  <c r="Z31"/>
  <c r="Z30"/>
  <c r="Z29"/>
  <c r="Z28"/>
  <c r="Z27"/>
  <c r="Z24"/>
  <c r="CF24"/>
  <c r="BP24"/>
  <c r="AW3"/>
  <c r="BQ3" s="1"/>
  <c r="CG3" s="1"/>
  <c r="AW4"/>
  <c r="BQ4" s="1"/>
  <c r="CG4" s="1"/>
  <c r="AW5"/>
  <c r="BQ5" s="1"/>
  <c r="CG5" s="1"/>
  <c r="AW6"/>
  <c r="BQ6" s="1"/>
  <c r="CG6" s="1"/>
  <c r="AW9"/>
  <c r="BQ9" s="1"/>
  <c r="CG9" s="1"/>
  <c r="AW10"/>
  <c r="BQ10" s="1"/>
  <c r="CG10" s="1"/>
  <c r="AW16"/>
  <c r="BQ16" s="1"/>
  <c r="CG16" s="1"/>
  <c r="AW17"/>
  <c r="BQ17" s="1"/>
  <c r="CG17" s="1"/>
  <c r="AW18"/>
  <c r="BQ18" s="1"/>
  <c r="CG18" s="1"/>
  <c r="AW19"/>
  <c r="BQ19" s="1"/>
  <c r="CG19" s="1"/>
  <c r="AW20"/>
  <c r="BQ20" s="1"/>
  <c r="CG20" s="1"/>
  <c r="AW21"/>
  <c r="BQ21" s="1"/>
  <c r="CG21" s="1"/>
  <c r="AW22"/>
  <c r="BQ22" s="1"/>
  <c r="CG22" s="1"/>
  <c r="CF31"/>
  <c r="CF27"/>
  <c r="CF28"/>
  <c r="CF29"/>
  <c r="BP18" i="4"/>
  <c r="BP19"/>
  <c r="BP20"/>
  <c r="BP21"/>
  <c r="BP22"/>
  <c r="Z18"/>
  <c r="Z19"/>
  <c r="Z20"/>
  <c r="Z21"/>
  <c r="Z22"/>
  <c r="AV22"/>
  <c r="AV18"/>
  <c r="AV19"/>
  <c r="AV20"/>
  <c r="AV21"/>
  <c r="CF26"/>
  <c r="BQ35" i="13" l="1"/>
  <c r="BQ34"/>
  <c r="Z30"/>
  <c r="Z29"/>
  <c r="Z28"/>
  <c r="Z27"/>
  <c r="Z31"/>
  <c r="AX31"/>
  <c r="AX30"/>
  <c r="AX29"/>
  <c r="AX28"/>
  <c r="AX27"/>
  <c r="CI35"/>
  <c r="CI34"/>
  <c r="CK24"/>
  <c r="Z28" i="12"/>
  <c r="Z27"/>
  <c r="AX24"/>
  <c r="AX23"/>
  <c r="AX22"/>
  <c r="AX21"/>
  <c r="AX20"/>
  <c r="CI28"/>
  <c r="CI27"/>
  <c r="CI17"/>
  <c r="AX17"/>
  <c r="CK17" s="1"/>
  <c r="BQ23"/>
  <c r="BQ22"/>
  <c r="BQ21"/>
  <c r="BQ20"/>
  <c r="BQ24"/>
  <c r="Z26" i="11"/>
  <c r="Z25"/>
  <c r="AV26"/>
  <c r="AV25"/>
  <c r="CF26"/>
  <c r="CF25"/>
  <c r="CG15"/>
  <c r="BP26"/>
  <c r="BP25"/>
  <c r="CF38" i="10"/>
  <c r="CF37"/>
  <c r="BP38"/>
  <c r="BP37"/>
  <c r="AV38"/>
  <c r="AV37"/>
  <c r="Z38"/>
  <c r="Z37"/>
  <c r="CF29" i="9"/>
  <c r="CF28"/>
  <c r="CG18"/>
  <c r="Z24"/>
  <c r="Z23"/>
  <c r="Z22"/>
  <c r="Z21"/>
  <c r="Z25"/>
  <c r="BP29"/>
  <c r="BP28"/>
  <c r="AV29"/>
  <c r="AV28"/>
  <c r="BP36" i="8"/>
  <c r="BP35"/>
  <c r="AV36"/>
  <c r="AV35"/>
  <c r="CF36"/>
  <c r="CF35"/>
  <c r="Z31"/>
  <c r="Z30"/>
  <c r="Z29"/>
  <c r="Z28"/>
  <c r="CG25"/>
  <c r="Z26" i="7"/>
  <c r="Z25"/>
  <c r="CF26"/>
  <c r="CF25"/>
  <c r="BP26"/>
  <c r="BP25"/>
  <c r="AV26"/>
  <c r="AV25"/>
  <c r="CG15"/>
  <c r="Z35" i="6"/>
  <c r="Z34"/>
  <c r="CF35"/>
  <c r="CF34"/>
  <c r="AV35"/>
  <c r="AV34"/>
  <c r="BP35"/>
  <c r="BP34"/>
  <c r="CF35" i="5"/>
  <c r="CF34"/>
  <c r="Z35"/>
  <c r="Z34"/>
  <c r="BP35"/>
  <c r="BP34"/>
  <c r="AV35"/>
  <c r="AV34"/>
  <c r="CG24"/>
  <c r="BP25" i="4"/>
  <c r="BP26"/>
  <c r="AV25"/>
  <c r="AV26"/>
  <c r="Z25"/>
  <c r="Z26"/>
  <c r="AX35" i="13" l="1"/>
  <c r="AX34"/>
  <c r="Z35"/>
  <c r="Z34"/>
  <c r="BQ28" i="12"/>
  <c r="BQ27"/>
  <c r="AX28"/>
  <c r="AX27"/>
  <c r="Z29" i="9"/>
  <c r="Z28"/>
  <c r="Z36" i="8"/>
  <c r="Z35"/>
</calcChain>
</file>

<file path=xl/sharedStrings.xml><?xml version="1.0" encoding="utf-8"?>
<sst xmlns="http://schemas.openxmlformats.org/spreadsheetml/2006/main" count="2286" uniqueCount="409">
  <si>
    <t>Успеваем.</t>
  </si>
  <si>
    <t>Качество</t>
  </si>
  <si>
    <t>Обучен.</t>
  </si>
  <si>
    <t>Тучное</t>
  </si>
  <si>
    <t>%</t>
  </si>
  <si>
    <t>Гарм.(+)</t>
  </si>
  <si>
    <t>освобожд.</t>
  </si>
  <si>
    <t>Гармонич.</t>
  </si>
  <si>
    <t>неудовлет.</t>
  </si>
  <si>
    <t>Гарм.(-)</t>
  </si>
  <si>
    <t>удовлетв.</t>
  </si>
  <si>
    <t>Деф.массы</t>
  </si>
  <si>
    <t>хорошо</t>
  </si>
  <si>
    <t>Количество  уч-ся</t>
  </si>
  <si>
    <t>отлично.</t>
  </si>
  <si>
    <t>Всего</t>
  </si>
  <si>
    <t>Тип физического развития</t>
  </si>
  <si>
    <t>Итоги 1-ой чет.</t>
  </si>
  <si>
    <t>Ср.оценка</t>
  </si>
  <si>
    <t>осн.</t>
  </si>
  <si>
    <t>Романова Лена</t>
  </si>
  <si>
    <t>тучное</t>
  </si>
  <si>
    <t>Варлакова Дарина</t>
  </si>
  <si>
    <t>Грубинка Маша</t>
  </si>
  <si>
    <t>гарм.(+)</t>
  </si>
  <si>
    <t>Ковалева Таня</t>
  </si>
  <si>
    <t>гармонич.</t>
  </si>
  <si>
    <t>Викентиева Ксения</t>
  </si>
  <si>
    <t>Терентьев Владик</t>
  </si>
  <si>
    <t>Ковалев Сергей</t>
  </si>
  <si>
    <t>гарм.(-)</t>
  </si>
  <si>
    <t>Колосов Андрей</t>
  </si>
  <si>
    <t>Дейвальд Данила</t>
  </si>
  <si>
    <t>Курманов Юра</t>
  </si>
  <si>
    <t>Ф. И. 0.</t>
  </si>
  <si>
    <t>Сумма</t>
  </si>
  <si>
    <t>Оценка</t>
  </si>
  <si>
    <t>Сгиб.разг.рук</t>
  </si>
  <si>
    <t>Метание мяча</t>
  </si>
  <si>
    <t>Бег 1500 м.</t>
  </si>
  <si>
    <t>Бег 60 м.</t>
  </si>
  <si>
    <t>1-3ч.</t>
  </si>
  <si>
    <t>броски</t>
  </si>
  <si>
    <t xml:space="preserve">    ведение мяча</t>
  </si>
  <si>
    <t>передача м.</t>
  </si>
  <si>
    <t>2км.</t>
  </si>
  <si>
    <t>1км.</t>
  </si>
  <si>
    <t>1 пол.</t>
  </si>
  <si>
    <t>Опорн. прыжки</t>
  </si>
  <si>
    <t>Акробатика</t>
  </si>
  <si>
    <t>Подтягивание</t>
  </si>
  <si>
    <t>Скакалка</t>
  </si>
  <si>
    <t>Гибкость</t>
  </si>
  <si>
    <t xml:space="preserve">   Подн.т.за 1 м.</t>
  </si>
  <si>
    <t xml:space="preserve"> Сумма</t>
  </si>
  <si>
    <t>6-мин. бег</t>
  </si>
  <si>
    <t>Челн.бег 4х9</t>
  </si>
  <si>
    <t>Бег 30 м.</t>
  </si>
  <si>
    <t>Прыжки с м.</t>
  </si>
  <si>
    <t>ИГМР</t>
  </si>
  <si>
    <t>Тип.ф.раз.</t>
  </si>
  <si>
    <t>Ин.Кетле</t>
  </si>
  <si>
    <t>Коэф.раз.</t>
  </si>
  <si>
    <t>Обхв.гр.</t>
  </si>
  <si>
    <t>Вес</t>
  </si>
  <si>
    <t>Рост</t>
  </si>
  <si>
    <t>Группа ф.п.</t>
  </si>
  <si>
    <t>Год рожд.</t>
  </si>
  <si>
    <t>Хрон.забол.</t>
  </si>
  <si>
    <t>5 класс - 4-ая четверть 2008-09 учебный год</t>
  </si>
  <si>
    <t>Баскетбол</t>
  </si>
  <si>
    <t>Лыжные гонки</t>
  </si>
  <si>
    <t>Рабочий листок 5-а класс (1-ая четверть)</t>
  </si>
  <si>
    <t>Листок здоровья   5-б класс (2008 - 2009 учебный год)</t>
  </si>
  <si>
    <t>Рабочий листок 5-б класс (1-ая четверть)</t>
  </si>
  <si>
    <t>Захаров Юра</t>
  </si>
  <si>
    <t>Блажиевский Слава</t>
  </si>
  <si>
    <t>подг.</t>
  </si>
  <si>
    <t>Шарипов Павлик</t>
  </si>
  <si>
    <t>Барбарович Владик</t>
  </si>
  <si>
    <t>Василенко Игорь</t>
  </si>
  <si>
    <t>Белых Катя</t>
  </si>
  <si>
    <t>деф.массы</t>
  </si>
  <si>
    <t>Гордиенко Надя</t>
  </si>
  <si>
    <t>Федронас Валерия</t>
  </si>
  <si>
    <t>Стеблинова Алина</t>
  </si>
  <si>
    <t>Стеблянова Лена</t>
  </si>
  <si>
    <t>Журилкина Катя</t>
  </si>
  <si>
    <t>Васягина Маша</t>
  </si>
  <si>
    <t>Бондар Аня</t>
  </si>
  <si>
    <t>Елизарова Алена</t>
  </si>
  <si>
    <t>Любарец Кристина</t>
  </si>
  <si>
    <t>Таран Лиза</t>
  </si>
  <si>
    <t>Клевцова Настя</t>
  </si>
  <si>
    <t>Дорогова Настя</t>
  </si>
  <si>
    <t>Федосеева Даша</t>
  </si>
  <si>
    <t>осв.</t>
  </si>
  <si>
    <t>Рабочий листок 6 класс (2008-09 уч. год)</t>
  </si>
  <si>
    <t>Рабочий листок 6 класс (1-ая четверть)</t>
  </si>
  <si>
    <t>6 кл.- (3 чет.)</t>
  </si>
  <si>
    <t>Чел.бег 4х9 м.</t>
  </si>
  <si>
    <t>6- мин.бег</t>
  </si>
  <si>
    <t xml:space="preserve">    Подн.тул.за 1м.</t>
  </si>
  <si>
    <t xml:space="preserve">       Гибкость</t>
  </si>
  <si>
    <t xml:space="preserve">        Скакалка</t>
  </si>
  <si>
    <t xml:space="preserve">    Подтягивание</t>
  </si>
  <si>
    <t xml:space="preserve">     Акробатика</t>
  </si>
  <si>
    <t xml:space="preserve"> Опорные прыжки</t>
  </si>
  <si>
    <t>2 км.</t>
  </si>
  <si>
    <t>Передача мяча</t>
  </si>
  <si>
    <t>Ведение мяча</t>
  </si>
  <si>
    <t>Броски</t>
  </si>
  <si>
    <t>Сгиб.разг.рук.</t>
  </si>
  <si>
    <t>Шурчков Илья</t>
  </si>
  <si>
    <t>Грачев Антон</t>
  </si>
  <si>
    <t>Скворцов Лев</t>
  </si>
  <si>
    <t>Смыкалов  Андрей</t>
  </si>
  <si>
    <t>Юсупов Олег</t>
  </si>
  <si>
    <t>Куприянов Илья</t>
  </si>
  <si>
    <t>Гридин Гоша</t>
  </si>
  <si>
    <t>Тимощенков Саша</t>
  </si>
  <si>
    <t>Летов Вова</t>
  </si>
  <si>
    <t>Савенок Маша</t>
  </si>
  <si>
    <t>Куземина Таня</t>
  </si>
  <si>
    <t>Ситникова Настя</t>
  </si>
  <si>
    <t>Михайлова Наташа</t>
  </si>
  <si>
    <t>Медведева Вика</t>
  </si>
  <si>
    <t>Теплова Таня</t>
  </si>
  <si>
    <t>Шаманова Люба</t>
  </si>
  <si>
    <t>Еремина Диана</t>
  </si>
  <si>
    <t>Солодовник Оля</t>
  </si>
  <si>
    <t>Чикина Алена</t>
  </si>
  <si>
    <t>Ср. оценка</t>
  </si>
  <si>
    <t>отлично</t>
  </si>
  <si>
    <t>отл.</t>
  </si>
  <si>
    <t>удовл</t>
  </si>
  <si>
    <t>неуд.</t>
  </si>
  <si>
    <t>Рабочий листок 7-а класс (2008-09 уч. год)</t>
  </si>
  <si>
    <t>Челн.б.4х9 м.</t>
  </si>
  <si>
    <t>бти мин. бег</t>
  </si>
  <si>
    <t>Подн.тул.за 1 м.</t>
  </si>
  <si>
    <t xml:space="preserve">     Гибкость</t>
  </si>
  <si>
    <t xml:space="preserve"> Скакалка</t>
  </si>
  <si>
    <t xml:space="preserve">   Подтягивание</t>
  </si>
  <si>
    <t>1 поп.</t>
  </si>
  <si>
    <t>ведение м.</t>
  </si>
  <si>
    <t xml:space="preserve">   Метание мяча</t>
  </si>
  <si>
    <t xml:space="preserve">     Сгиб.разг.рук.</t>
  </si>
  <si>
    <t>Зюкин Алеша</t>
  </si>
  <si>
    <t>Хиврич Сергей</t>
  </si>
  <si>
    <t>Овчинников Витя</t>
  </si>
  <si>
    <t>Сесь Федя</t>
  </si>
  <si>
    <t>Бондар Саша</t>
  </si>
  <si>
    <t>Черемина Кристина</t>
  </si>
  <si>
    <t>Брюханова Настя</t>
  </si>
  <si>
    <t>Борисова Валя</t>
  </si>
  <si>
    <t>Разумцева Тася</t>
  </si>
  <si>
    <t>Бакурина Алина</t>
  </si>
  <si>
    <t>Абдухалил Коля</t>
  </si>
  <si>
    <t>Дичану Женя</t>
  </si>
  <si>
    <t>Пантелеев Виктор</t>
  </si>
  <si>
    <t>Пылин Данила</t>
  </si>
  <si>
    <t>Чашин Алеша</t>
  </si>
  <si>
    <t>Пономарев Алексей</t>
  </si>
  <si>
    <t>Гузеев Саша</t>
  </si>
  <si>
    <t>Порожняк Максим</t>
  </si>
  <si>
    <t>Харьковский Миша</t>
  </si>
  <si>
    <t>Латышев Дима</t>
  </si>
  <si>
    <t>Федоренко Марина</t>
  </si>
  <si>
    <t>Бардина Лена</t>
  </si>
  <si>
    <t>Мартыненкова Света</t>
  </si>
  <si>
    <t>Чупревич Инга</t>
  </si>
  <si>
    <t>Коноплева Таня</t>
  </si>
  <si>
    <t>Кузьменькова Аня</t>
  </si>
  <si>
    <t>Сергутина Вероника</t>
  </si>
  <si>
    <t>Крисанова Настя</t>
  </si>
  <si>
    <t>Белых Марина</t>
  </si>
  <si>
    <t>Рогачева Аня</t>
  </si>
  <si>
    <t>Рабочий листок 8 класс (1-ая четверть)</t>
  </si>
  <si>
    <t>8 кл.- (3 чет.)</t>
  </si>
  <si>
    <t>Челн.бег 4х9 м.</t>
  </si>
  <si>
    <t>6-мин.бег</t>
  </si>
  <si>
    <t>Подн.тул.за 1м.</t>
  </si>
  <si>
    <t>Опорные прыжки</t>
  </si>
  <si>
    <t>Бег 2000 м.</t>
  </si>
  <si>
    <t>Коржов Дима</t>
  </si>
  <si>
    <t>Савгачев Саша</t>
  </si>
  <si>
    <t>Насонов Виталик</t>
  </si>
  <si>
    <t>Крылов Сережа</t>
  </si>
  <si>
    <t>Ляшов Вадим</t>
  </si>
  <si>
    <t>Рябов Сергей</t>
  </si>
  <si>
    <t>Тюлькин Саша</t>
  </si>
  <si>
    <t>Ульман Настя</t>
  </si>
  <si>
    <t>Смирнова Настя</t>
  </si>
  <si>
    <t>Гришутина Оля</t>
  </si>
  <si>
    <t>Тома Рита</t>
  </si>
  <si>
    <t>Петровская Настя</t>
  </si>
  <si>
    <t>Животенкова Юля</t>
  </si>
  <si>
    <t>Успев.</t>
  </si>
  <si>
    <t>Рабочий листок 9-а класс (1-ая четверть)</t>
  </si>
  <si>
    <t>9-а кл.- (3 чет.)</t>
  </si>
  <si>
    <t>Группа ф.к.</t>
  </si>
  <si>
    <t>Челн.бег 4х9 м</t>
  </si>
  <si>
    <t xml:space="preserve">        Гибкость</t>
  </si>
  <si>
    <t xml:space="preserve">      Подтягивание</t>
  </si>
  <si>
    <t xml:space="preserve">      Акробатика</t>
  </si>
  <si>
    <t xml:space="preserve">    Бег 2000 м.</t>
  </si>
  <si>
    <t>Фомин Эдик</t>
  </si>
  <si>
    <t>Буданов Максим</t>
  </si>
  <si>
    <t>осн</t>
  </si>
  <si>
    <t>Ефименков Ярослав</t>
  </si>
  <si>
    <t>Курандин Виктор</t>
  </si>
  <si>
    <t>Булаев Максим</t>
  </si>
  <si>
    <t>Гусев Артем</t>
  </si>
  <si>
    <t>Варлаков Артем</t>
  </si>
  <si>
    <t>Сесь Тихон</t>
  </si>
  <si>
    <t>Дедов Саша</t>
  </si>
  <si>
    <t>Романович Максим</t>
  </si>
  <si>
    <t>Никишин Яша</t>
  </si>
  <si>
    <t>Коваленко Владик</t>
  </si>
  <si>
    <t>Жапалэу Алина</t>
  </si>
  <si>
    <t>Данилова Лена</t>
  </si>
  <si>
    <t>Дорохова Аля</t>
  </si>
  <si>
    <t>Патунина Даша</t>
  </si>
  <si>
    <t>Михалева Ксения</t>
  </si>
  <si>
    <t>Грачева Оля</t>
  </si>
  <si>
    <t>Медведева Ира</t>
  </si>
  <si>
    <t>Кесарева Вика</t>
  </si>
  <si>
    <t>Шалыгина</t>
  </si>
  <si>
    <t>Гетьман Ира</t>
  </si>
  <si>
    <t>неудовлетв.</t>
  </si>
  <si>
    <t>Качес.</t>
  </si>
  <si>
    <t>Рабочий листок 9 класс (1-ая четверть)</t>
  </si>
  <si>
    <t>9 кл.- (3 чет.)</t>
  </si>
  <si>
    <t>Чупревич Слава</t>
  </si>
  <si>
    <t>Туров Рома</t>
  </si>
  <si>
    <t>Ковалев Витя</t>
  </si>
  <si>
    <t>Комаров Леша</t>
  </si>
  <si>
    <t>Солметов Рустам</t>
  </si>
  <si>
    <t>Карпачева Юля</t>
  </si>
  <si>
    <t>Пилипенко Карина</t>
  </si>
  <si>
    <t>Екимова Кристина</t>
  </si>
  <si>
    <t>Терникова Вера</t>
  </si>
  <si>
    <t>Межлумян Армине</t>
  </si>
  <si>
    <t>Рабочий листок 10 класс (1-ая четверть)</t>
  </si>
  <si>
    <t>10 кл.- (3 чет.)</t>
  </si>
  <si>
    <t>Волейбол</t>
  </si>
  <si>
    <t>Челн.б.4х9 м</t>
  </si>
  <si>
    <t xml:space="preserve">    6ти мин.бег</t>
  </si>
  <si>
    <t>Под.тул. за 1 мин.</t>
  </si>
  <si>
    <t xml:space="preserve">    Гибкость</t>
  </si>
  <si>
    <t>Оц. 1л</t>
  </si>
  <si>
    <t>1км.\2 км.</t>
  </si>
  <si>
    <t>3 км.</t>
  </si>
  <si>
    <t>перед сверху</t>
  </si>
  <si>
    <t>перед. снизу</t>
  </si>
  <si>
    <t>подача</t>
  </si>
  <si>
    <t>Бег 100 м.</t>
  </si>
  <si>
    <t>Бег 2\3 км.</t>
  </si>
  <si>
    <t>Метание гранаты</t>
  </si>
  <si>
    <t>Сум.2п.</t>
  </si>
  <si>
    <t>Оц.2п.</t>
  </si>
  <si>
    <t>Годовая</t>
  </si>
  <si>
    <t>Филиппов Вася</t>
  </si>
  <si>
    <t>Смирнов Олег</t>
  </si>
  <si>
    <t>Ксенофонтов Женя</t>
  </si>
  <si>
    <t>Спивак Дмитрий</t>
  </si>
  <si>
    <t>Астахов Максим</t>
  </si>
  <si>
    <t>Горностаева Ксения</t>
  </si>
  <si>
    <t>Пилипенко Нелли</t>
  </si>
  <si>
    <t>Осадчая Алена</t>
  </si>
  <si>
    <t>Куприянова Карина</t>
  </si>
  <si>
    <t>Картавцева Валя</t>
  </si>
  <si>
    <t>Абрамова Лена</t>
  </si>
  <si>
    <t>Деваева Надя</t>
  </si>
  <si>
    <t>11 кл.- (3 чет.)</t>
  </si>
  <si>
    <t xml:space="preserve">   Прыжки с м.</t>
  </si>
  <si>
    <t>Чел.бег 4х9 м</t>
  </si>
  <si>
    <t xml:space="preserve">   6ти мин.бег</t>
  </si>
  <si>
    <t>Под. тул.за 1 мин.</t>
  </si>
  <si>
    <t xml:space="preserve">  Гибкость</t>
  </si>
  <si>
    <t xml:space="preserve">  Скакалка</t>
  </si>
  <si>
    <t xml:space="preserve">    Акробатика</t>
  </si>
  <si>
    <t>Оц. 1п</t>
  </si>
  <si>
    <t>Церцвадзе Торнике</t>
  </si>
  <si>
    <t>Картавцев Дима</t>
  </si>
  <si>
    <t>Балаев Гриша</t>
  </si>
  <si>
    <t>Киреев Дима</t>
  </si>
  <si>
    <t>Михалев Ваня</t>
  </si>
  <si>
    <t>Смирнов Алеша</t>
  </si>
  <si>
    <t>Зайцев Кирилл</t>
  </si>
  <si>
    <t>Орбан Вова</t>
  </si>
  <si>
    <t>Шкарупа Оля</t>
  </si>
  <si>
    <t>ВарлаковаЖанна</t>
  </si>
  <si>
    <t>Мурзова Катя</t>
  </si>
  <si>
    <t>Еремина Мария</t>
  </si>
  <si>
    <t>Гареликова Настя</t>
  </si>
  <si>
    <t>Кудряшова Галя</t>
  </si>
  <si>
    <t>Тимокирова Лена</t>
  </si>
  <si>
    <t>Федосеева Лена</t>
  </si>
  <si>
    <t>Иванова Катя</t>
  </si>
  <si>
    <t>Деревянченко Настя</t>
  </si>
  <si>
    <t>Староверова Катя</t>
  </si>
  <si>
    <t xml:space="preserve">Итоговая таблица уровня успешности физической подготовленности учащихся Асаковской школы в 2008-09 учебном году </t>
  </si>
  <si>
    <t>Класс</t>
  </si>
  <si>
    <t>1            четверть</t>
  </si>
  <si>
    <t>Место в 1-ой чет.</t>
  </si>
  <si>
    <t>2 четверть</t>
  </si>
  <si>
    <t>1-ое полугодие</t>
  </si>
  <si>
    <t>Место в    1 полуг.</t>
  </si>
  <si>
    <t>3 четверть</t>
  </si>
  <si>
    <t>4 четверть</t>
  </si>
  <si>
    <t>2-ое полугодие</t>
  </si>
  <si>
    <t>Место во 2 полуг.</t>
  </si>
  <si>
    <t>Итоговая оценка</t>
  </si>
  <si>
    <t>Итоговое место</t>
  </si>
  <si>
    <t>7-а</t>
  </si>
  <si>
    <t>9-б</t>
  </si>
  <si>
    <t>5-а</t>
  </si>
  <si>
    <t>9-а</t>
  </si>
  <si>
    <t>7-б</t>
  </si>
  <si>
    <t>5-б</t>
  </si>
  <si>
    <t xml:space="preserve"> </t>
  </si>
  <si>
    <t>5\6</t>
  </si>
  <si>
    <t>Медведева Виктория</t>
  </si>
  <si>
    <t>14\19</t>
  </si>
  <si>
    <t>Брюханова Анастасия</t>
  </si>
  <si>
    <t>9\10</t>
  </si>
  <si>
    <t>Михайлова Наталья</t>
  </si>
  <si>
    <t>11\12</t>
  </si>
  <si>
    <t>Ковалева Татьяна</t>
  </si>
  <si>
    <t>1\2</t>
  </si>
  <si>
    <t>Ситникова Анастасия</t>
  </si>
  <si>
    <t>Куземина Татьяна</t>
  </si>
  <si>
    <t>Савенок Мария</t>
  </si>
  <si>
    <t>Гордиенко Надежда</t>
  </si>
  <si>
    <t>6\8</t>
  </si>
  <si>
    <t>Белых Екатерина</t>
  </si>
  <si>
    <t>Данилова Елена</t>
  </si>
  <si>
    <t>4\5</t>
  </si>
  <si>
    <t>14\15</t>
  </si>
  <si>
    <t>Церцвадзе Торникэ</t>
  </si>
  <si>
    <t>12\13</t>
  </si>
  <si>
    <t>7\8</t>
  </si>
  <si>
    <t>Фомин Эдуард</t>
  </si>
  <si>
    <t>Туров Роман</t>
  </si>
  <si>
    <t>1\6</t>
  </si>
  <si>
    <t>Дичану Евгений</t>
  </si>
  <si>
    <t>Блажиевский Вячеслав</t>
  </si>
  <si>
    <t>12\14</t>
  </si>
  <si>
    <t>Абдухалил Николай</t>
  </si>
  <si>
    <t>Филиппов Василий</t>
  </si>
  <si>
    <t>Захаров Юрий</t>
  </si>
  <si>
    <t>Курманов Юрий</t>
  </si>
  <si>
    <t>Чупревич Вячеслав</t>
  </si>
  <si>
    <t>Зюкин Алексей</t>
  </si>
  <si>
    <t>Сумма очков за 1-4 чет.</t>
  </si>
  <si>
    <t>4-ая чет. (очки)</t>
  </si>
  <si>
    <t>Место за 1-3 чет.</t>
  </si>
  <si>
    <t>Сумма очков за 1-3 чет.</t>
  </si>
  <si>
    <t>3-ья чет. (очки)</t>
  </si>
  <si>
    <t>Место за полу- годие</t>
  </si>
  <si>
    <t>Сумма очков     1-2 чет.</t>
  </si>
  <si>
    <t>2-ая чет. (очки)</t>
  </si>
  <si>
    <t>Место</t>
  </si>
  <si>
    <t>1-ая чет. (очки)</t>
  </si>
  <si>
    <t>Ф.И.О.</t>
  </si>
  <si>
    <t>Лучшие из лучших - 2008-09 учебный год</t>
  </si>
  <si>
    <t>Листок здоровья 5-а класса (2008-09 уч.год)</t>
  </si>
  <si>
    <t>Рабочий листок 5-а класса (2-ая четверть)</t>
  </si>
  <si>
    <t>5-а кл.- (3 чет.)</t>
  </si>
  <si>
    <t>Рабочий листок 5-б класса - 4-ая четверть 2008-09 учебный год</t>
  </si>
  <si>
    <t>Рабочий листок 5-б класс (2-ая четверть)</t>
  </si>
  <si>
    <t>5-б кл.- (3 чет.)</t>
  </si>
  <si>
    <t>Рабочий листок 6 класс (2-ая четверть)</t>
  </si>
  <si>
    <t>Рабочий листок 6 класса (4 четверть) 2008-09 учебный год</t>
  </si>
  <si>
    <t>Рабочий листок 7-а класса (1-ая четверть)</t>
  </si>
  <si>
    <t>Рабочий листок 7-а класса (2-ая четверть)</t>
  </si>
  <si>
    <t>3-ья  чет. 7-а кл.</t>
  </si>
  <si>
    <t>Рабочий листок 7-а класса 4-ая четверть</t>
  </si>
  <si>
    <t>Листок здоровья 9-а класса (2008-09 уч. год)</t>
  </si>
  <si>
    <t>Листок здоровья 8 класса (2008-09 уч. год)</t>
  </si>
  <si>
    <t>Рабочий листок 8 класс (4-ая четверть)</t>
  </si>
  <si>
    <t>Рабочий листок 8 класс (2-ая четверть)</t>
  </si>
  <si>
    <t>Рабочий листок 9-а класс (2-ая четверть)</t>
  </si>
  <si>
    <t>Рабочий листок 9-а класс (4-ая четверть)</t>
  </si>
  <si>
    <t>Листок здоровья 7-б класса (2008-09 уч. год)</t>
  </si>
  <si>
    <t>Рабочий листок 7-б класса (1-ая четверть)</t>
  </si>
  <si>
    <t>Рабочий листок 7-б класса (4-ая четверть)</t>
  </si>
  <si>
    <t>3-ья четв. 7-б кл.</t>
  </si>
  <si>
    <t>Рабочий листок 7-б класса (2-ая четверть)</t>
  </si>
  <si>
    <t>Листок здоровья 9-б класса (2008-09 уч. год)</t>
  </si>
  <si>
    <t>Рабочий листок 9 класс (4-ая четверть)</t>
  </si>
  <si>
    <t>Рабочий листок 9 класс (2-ая четверть)</t>
  </si>
  <si>
    <t>Листок здоровья 10 класса (2008-09 уч. год)</t>
  </si>
  <si>
    <t>Рабочий листок 10 класс (4-ая четверть)</t>
  </si>
  <si>
    <t>Рабочий листок 10 класс (2-ая четверть)</t>
  </si>
  <si>
    <t>Листок здоровья 11 класса (2008-09 уч.год)</t>
  </si>
  <si>
    <t>Рабочий листок 11 класса (1-ая четверть)</t>
  </si>
  <si>
    <t>Рабочий листок 11 класса (4-ая четверть)</t>
  </si>
  <si>
    <t>Рабочий листок 11 класса (2-ая четверть)</t>
  </si>
  <si>
    <t>Итоги 1-го полуг.</t>
  </si>
  <si>
    <t>Ср. оценка школы</t>
  </si>
  <si>
    <t>2008 - 2009 учебный год</t>
  </si>
  <si>
    <t>учитель физической культуры                                        МОРОЗОВ  ВАЛЕРИЙ  ПАВЛОВИЧ</t>
  </si>
  <si>
    <t>Итоги обучения по физической культуре                             МОУ Асаковская школа</t>
  </si>
  <si>
    <t>подача сверху</t>
  </si>
  <si>
    <t>(практическое применение авторской системы оценок результатов тестирования)</t>
  </si>
  <si>
    <t>Мониторинг физического развития учащихся</t>
  </si>
</sst>
</file>

<file path=xl/styles.xml><?xml version="1.0" encoding="utf-8"?>
<styleSheet xmlns="http://schemas.openxmlformats.org/spreadsheetml/2006/main">
  <fonts count="48">
    <font>
      <sz val="11"/>
      <color theme="1"/>
      <name val="Calibri"/>
      <family val="2"/>
      <charset val="204"/>
      <scheme val="minor"/>
    </font>
    <font>
      <sz val="10"/>
      <name val="Tahoma"/>
    </font>
    <font>
      <b/>
      <sz val="10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13"/>
      <name val="Tahoma"/>
      <family val="2"/>
      <charset val="204"/>
    </font>
    <font>
      <b/>
      <sz val="10"/>
      <color indexed="10"/>
      <name val="Tahoma"/>
      <family val="2"/>
      <charset val="204"/>
    </font>
    <font>
      <b/>
      <sz val="10"/>
      <color indexed="12"/>
      <name val="Tahoma"/>
      <family val="2"/>
      <charset val="204"/>
    </font>
    <font>
      <sz val="9"/>
      <color indexed="8"/>
      <name val="Tahoma"/>
      <family val="2"/>
      <charset val="204"/>
    </font>
    <font>
      <b/>
      <sz val="10"/>
      <color indexed="11"/>
      <name val="Tahoma"/>
      <family val="2"/>
      <charset val="204"/>
    </font>
    <font>
      <sz val="9"/>
      <color indexed="13"/>
      <name val="Tahoma"/>
      <family val="2"/>
      <charset val="204"/>
    </font>
    <font>
      <sz val="9"/>
      <color indexed="11"/>
      <name val="Tahoma"/>
      <family val="2"/>
      <charset val="204"/>
    </font>
    <font>
      <sz val="8"/>
      <color indexed="8"/>
      <name val="Tahoma"/>
      <family val="2"/>
      <charset val="204"/>
    </font>
    <font>
      <sz val="9"/>
      <color indexed="12"/>
      <name val="Tahoma"/>
      <family val="2"/>
      <charset val="204"/>
    </font>
    <font>
      <sz val="10"/>
      <color indexed="8"/>
      <name val="Tahoma"/>
    </font>
    <font>
      <sz val="9"/>
      <color indexed="10"/>
      <name val="Tahoma"/>
      <family val="2"/>
      <charset val="204"/>
    </font>
    <font>
      <b/>
      <sz val="9"/>
      <color indexed="8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Tahoma"/>
      <family val="2"/>
      <charset val="204"/>
    </font>
    <font>
      <sz val="10"/>
      <color indexed="8"/>
      <name val="MS Sans Serif"/>
      <family val="2"/>
      <charset val="204"/>
    </font>
    <font>
      <sz val="10"/>
      <color indexed="12"/>
      <name val="Tahoma"/>
      <family val="2"/>
      <charset val="204"/>
    </font>
    <font>
      <sz val="10"/>
      <color indexed="58"/>
      <name val="Tahoma"/>
      <family val="2"/>
      <charset val="204"/>
    </font>
    <font>
      <sz val="10"/>
      <color indexed="12"/>
      <name val="Arial"/>
      <family val="2"/>
      <charset val="204"/>
    </font>
    <font>
      <sz val="10"/>
      <color indexed="10"/>
      <name val="MS Sans Serif"/>
      <family val="2"/>
      <charset val="204"/>
    </font>
    <font>
      <sz val="10"/>
      <color indexed="12"/>
      <name val="MS Sans Serif"/>
      <family val="2"/>
      <charset val="204"/>
    </font>
    <font>
      <sz val="10"/>
      <color indexed="11"/>
      <name val="Tahoma"/>
      <family val="2"/>
      <charset val="204"/>
    </font>
    <font>
      <sz val="10"/>
      <color indexed="13"/>
      <name val="Tahoma"/>
      <family val="2"/>
      <charset val="204"/>
    </font>
    <font>
      <sz val="8"/>
      <color indexed="8"/>
      <name val="Arial Cyr"/>
      <charset val="204"/>
    </font>
    <font>
      <sz val="10"/>
      <name val="Arial Cyr"/>
      <charset val="204"/>
    </font>
    <font>
      <b/>
      <sz val="14"/>
      <name val="Tahoma"/>
      <family val="2"/>
      <charset val="204"/>
    </font>
    <font>
      <sz val="10"/>
      <name val="Tahoma"/>
      <family val="2"/>
      <charset val="204"/>
    </font>
    <font>
      <i/>
      <sz val="12"/>
      <name val="Tahoma"/>
      <family val="2"/>
      <charset val="204"/>
    </font>
    <font>
      <b/>
      <sz val="14"/>
      <color rgb="FFFF0000"/>
      <name val="Tahoma"/>
      <family val="2"/>
      <charset val="204"/>
    </font>
    <font>
      <b/>
      <i/>
      <sz val="12"/>
      <name val="Tahoma"/>
      <family val="2"/>
      <charset val="204"/>
    </font>
    <font>
      <sz val="14"/>
      <color indexed="10"/>
      <name val="Tahoma"/>
      <family val="2"/>
      <charset val="204"/>
    </font>
    <font>
      <b/>
      <sz val="14"/>
      <color indexed="10"/>
      <name val="Tahoma"/>
      <family val="2"/>
      <charset val="204"/>
    </font>
    <font>
      <b/>
      <sz val="10"/>
      <color indexed="12"/>
      <name val="Tahoma"/>
    </font>
    <font>
      <b/>
      <sz val="10"/>
      <color indexed="16"/>
      <name val="Tahoma"/>
    </font>
    <font>
      <b/>
      <sz val="10"/>
      <color indexed="10"/>
      <name val="Tahoma"/>
    </font>
    <font>
      <b/>
      <sz val="10"/>
      <name val="Tahoma"/>
    </font>
    <font>
      <b/>
      <sz val="10"/>
      <color rgb="FFFF0000"/>
      <name val="Tahoma"/>
      <family val="2"/>
      <charset val="204"/>
    </font>
    <font>
      <b/>
      <sz val="16"/>
      <name val="Tahoma"/>
    </font>
    <font>
      <b/>
      <sz val="10"/>
      <color indexed="8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70C0"/>
      <name val="MS Sans Serif"/>
      <family val="2"/>
      <charset val="204"/>
    </font>
    <font>
      <sz val="10"/>
      <color rgb="FF0070C0"/>
      <name val="Tahoma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411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/>
    </xf>
    <xf numFmtId="0" fontId="3" fillId="0" borderId="1" xfId="1" applyFont="1" applyBorder="1"/>
    <xf numFmtId="0" fontId="2" fillId="0" borderId="0" xfId="1" applyFont="1"/>
    <xf numFmtId="0" fontId="2" fillId="0" borderId="1" xfId="1" applyFont="1" applyBorder="1"/>
    <xf numFmtId="0" fontId="4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/>
    <xf numFmtId="0" fontId="6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7" fillId="0" borderId="1" xfId="1" applyFont="1" applyBorder="1"/>
    <xf numFmtId="0" fontId="8" fillId="0" borderId="1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9" fillId="0" borderId="3" xfId="1" applyFont="1" applyBorder="1"/>
    <xf numFmtId="0" fontId="5" fillId="0" borderId="1" xfId="1" applyFont="1" applyBorder="1" applyAlignment="1">
      <alignment horizontal="center"/>
    </xf>
    <xf numFmtId="0" fontId="10" fillId="0" borderId="3" xfId="1" applyFont="1" applyBorder="1"/>
    <xf numFmtId="0" fontId="11" fillId="0" borderId="0" xfId="1" applyFont="1" applyAlignment="1">
      <alignment horizontal="center" vertical="center"/>
    </xf>
    <xf numFmtId="0" fontId="12" fillId="0" borderId="3" xfId="1" applyFont="1" applyBorder="1"/>
    <xf numFmtId="0" fontId="2" fillId="2" borderId="1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13" fillId="0" borderId="1" xfId="1" applyFont="1" applyBorder="1" applyAlignment="1">
      <alignment horizontal="center"/>
    </xf>
    <xf numFmtId="0" fontId="14" fillId="0" borderId="3" xfId="1" applyFont="1" applyBorder="1"/>
    <xf numFmtId="0" fontId="13" fillId="4" borderId="0" xfId="1" applyFont="1" applyFill="1"/>
    <xf numFmtId="0" fontId="2" fillId="5" borderId="3" xfId="1" applyFont="1" applyFill="1" applyBorder="1" applyAlignment="1">
      <alignment horizontal="center"/>
    </xf>
    <xf numFmtId="0" fontId="2" fillId="5" borderId="3" xfId="1" applyFont="1" applyFill="1" applyBorder="1"/>
    <xf numFmtId="0" fontId="2" fillId="4" borderId="0" xfId="1" applyFont="1" applyFill="1" applyAlignment="1">
      <alignment horizontal="center"/>
    </xf>
    <xf numFmtId="0" fontId="15" fillId="0" borderId="0" xfId="1" applyFont="1" applyAlignment="1">
      <alignment horizontal="centerContinuous"/>
    </xf>
    <xf numFmtId="0" fontId="5" fillId="0" borderId="0" xfId="1" applyFont="1" applyAlignment="1">
      <alignment horizontal="center" vertical="center"/>
    </xf>
    <xf numFmtId="0" fontId="16" fillId="0" borderId="1" xfId="1" applyFont="1" applyBorder="1" applyAlignment="1">
      <alignment vertical="top"/>
    </xf>
    <xf numFmtId="0" fontId="17" fillId="0" borderId="1" xfId="1" applyFont="1" applyBorder="1" applyAlignment="1">
      <alignment vertical="top"/>
    </xf>
    <xf numFmtId="0" fontId="18" fillId="0" borderId="1" xfId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17" fillId="0" borderId="6" xfId="1" applyFont="1" applyBorder="1" applyAlignment="1">
      <alignment vertical="top"/>
    </xf>
    <xf numFmtId="0" fontId="3" fillId="0" borderId="3" xfId="1" applyFont="1" applyBorder="1" applyAlignment="1">
      <alignment vertical="top"/>
    </xf>
    <xf numFmtId="0" fontId="2" fillId="0" borderId="1" xfId="1" applyFont="1" applyBorder="1" applyAlignment="1">
      <alignment horizontal="center" vertical="center"/>
    </xf>
    <xf numFmtId="0" fontId="3" fillId="4" borderId="0" xfId="1" applyFont="1" applyFill="1"/>
    <xf numFmtId="0" fontId="17" fillId="4" borderId="8" xfId="1" applyFont="1" applyFill="1" applyBorder="1" applyAlignment="1">
      <alignment vertical="top"/>
    </xf>
    <xf numFmtId="0" fontId="3" fillId="4" borderId="5" xfId="1" applyFont="1" applyFill="1" applyBorder="1"/>
    <xf numFmtId="0" fontId="3" fillId="0" borderId="6" xfId="1" applyFont="1" applyBorder="1"/>
    <xf numFmtId="0" fontId="19" fillId="0" borderId="1" xfId="1" applyFont="1" applyBorder="1" applyAlignment="1">
      <alignment vertical="top"/>
    </xf>
    <xf numFmtId="0" fontId="20" fillId="6" borderId="6" xfId="1" applyFont="1" applyFill="1" applyBorder="1" applyAlignment="1">
      <alignment vertical="top"/>
    </xf>
    <xf numFmtId="0" fontId="21" fillId="0" borderId="1" xfId="1" applyFont="1" applyBorder="1" applyAlignment="1">
      <alignment vertical="top"/>
    </xf>
    <xf numFmtId="0" fontId="3" fillId="0" borderId="1" xfId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/>
    </xf>
    <xf numFmtId="0" fontId="3" fillId="0" borderId="6" xfId="1" applyFont="1" applyBorder="1" applyAlignment="1">
      <alignment vertical="top"/>
    </xf>
    <xf numFmtId="0" fontId="13" fillId="0" borderId="1" xfId="1" applyFont="1" applyBorder="1"/>
    <xf numFmtId="0" fontId="3" fillId="0" borderId="1" xfId="1" applyFont="1" applyBorder="1" applyAlignment="1">
      <alignment horizontal="center" vertical="top"/>
    </xf>
    <xf numFmtId="14" fontId="3" fillId="0" borderId="1" xfId="1" applyNumberFormat="1" applyFont="1" applyBorder="1" applyAlignment="1">
      <alignment vertical="top"/>
    </xf>
    <xf numFmtId="14" fontId="3" fillId="0" borderId="1" xfId="1" applyNumberFormat="1" applyFont="1" applyBorder="1"/>
    <xf numFmtId="0" fontId="3" fillId="3" borderId="8" xfId="1" applyFont="1" applyFill="1" applyBorder="1" applyAlignment="1">
      <alignment vertical="top"/>
    </xf>
    <xf numFmtId="0" fontId="18" fillId="4" borderId="9" xfId="1" applyFont="1" applyFill="1" applyBorder="1" applyAlignment="1">
      <alignment vertical="top"/>
    </xf>
    <xf numFmtId="0" fontId="22" fillId="4" borderId="9" xfId="1" applyFont="1" applyFill="1" applyBorder="1" applyAlignment="1">
      <alignment vertical="top"/>
    </xf>
    <xf numFmtId="0" fontId="3" fillId="4" borderId="10" xfId="1" applyFont="1" applyFill="1" applyBorder="1"/>
    <xf numFmtId="0" fontId="22" fillId="4" borderId="0" xfId="1" applyFont="1" applyFill="1" applyAlignment="1">
      <alignment vertical="top"/>
    </xf>
    <xf numFmtId="0" fontId="23" fillId="4" borderId="9" xfId="1" applyFont="1" applyFill="1" applyBorder="1" applyAlignment="1">
      <alignment vertical="top"/>
    </xf>
    <xf numFmtId="0" fontId="23" fillId="4" borderId="10" xfId="1" applyFont="1" applyFill="1" applyBorder="1" applyAlignment="1">
      <alignment vertical="top"/>
    </xf>
    <xf numFmtId="0" fontId="23" fillId="4" borderId="0" xfId="1" applyFont="1" applyFill="1" applyAlignment="1">
      <alignment vertical="top"/>
    </xf>
    <xf numFmtId="0" fontId="20" fillId="4" borderId="9" xfId="1" applyFont="1" applyFill="1" applyBorder="1" applyAlignment="1">
      <alignment vertical="top"/>
    </xf>
    <xf numFmtId="0" fontId="17" fillId="4" borderId="9" xfId="1" applyFont="1" applyFill="1" applyBorder="1" applyAlignment="1">
      <alignment vertical="top"/>
    </xf>
    <xf numFmtId="0" fontId="19" fillId="4" borderId="9" xfId="1" applyFont="1" applyFill="1" applyBorder="1" applyAlignment="1">
      <alignment vertical="top"/>
    </xf>
    <xf numFmtId="0" fontId="3" fillId="4" borderId="9" xfId="1" applyFont="1" applyFill="1" applyBorder="1" applyAlignment="1">
      <alignment vertical="top"/>
    </xf>
    <xf numFmtId="0" fontId="3" fillId="0" borderId="10" xfId="1" applyFont="1" applyBorder="1" applyAlignment="1">
      <alignment vertical="top"/>
    </xf>
    <xf numFmtId="0" fontId="3" fillId="0" borderId="9" xfId="1" applyFont="1" applyBorder="1" applyAlignment="1">
      <alignment vertical="top"/>
    </xf>
    <xf numFmtId="0" fontId="3" fillId="0" borderId="9" xfId="1" applyFont="1" applyBorder="1" applyAlignment="1">
      <alignment horizontal="center" vertical="top"/>
    </xf>
    <xf numFmtId="0" fontId="18" fillId="0" borderId="6" xfId="1" applyFont="1" applyBorder="1" applyAlignment="1">
      <alignment vertical="top"/>
    </xf>
    <xf numFmtId="0" fontId="19" fillId="0" borderId="6" xfId="1" applyFont="1" applyBorder="1" applyAlignment="1">
      <alignment vertical="top"/>
    </xf>
    <xf numFmtId="14" fontId="3" fillId="0" borderId="1" xfId="1" applyNumberFormat="1" applyFont="1" applyBorder="1" applyAlignment="1">
      <alignment horizontal="right" vertical="top"/>
    </xf>
    <xf numFmtId="0" fontId="16" fillId="0" borderId="6" xfId="1" applyFont="1" applyBorder="1" applyAlignment="1">
      <alignment vertical="top"/>
    </xf>
    <xf numFmtId="0" fontId="16" fillId="0" borderId="6" xfId="1" applyFont="1" applyBorder="1" applyAlignment="1">
      <alignment horizontal="centerContinuous" vertical="top"/>
    </xf>
    <xf numFmtId="0" fontId="16" fillId="0" borderId="10" xfId="1" applyFont="1" applyBorder="1" applyAlignment="1">
      <alignment vertical="top"/>
    </xf>
    <xf numFmtId="0" fontId="16" fillId="0" borderId="11" xfId="1" applyFont="1" applyBorder="1" applyAlignment="1">
      <alignment horizontal="centerContinuous" vertical="top"/>
    </xf>
    <xf numFmtId="0" fontId="16" fillId="0" borderId="11" xfId="1" applyFont="1" applyBorder="1" applyAlignment="1">
      <alignment vertical="top"/>
    </xf>
    <xf numFmtId="0" fontId="16" fillId="0" borderId="10" xfId="1" applyFont="1" applyBorder="1" applyAlignment="1">
      <alignment horizontal="centerContinuous" vertical="top"/>
    </xf>
    <xf numFmtId="0" fontId="16" fillId="0" borderId="8" xfId="1" applyFont="1" applyBorder="1" applyAlignment="1">
      <alignment horizontal="centerContinuous" vertical="top"/>
    </xf>
    <xf numFmtId="0" fontId="16" fillId="0" borderId="4" xfId="1" applyFont="1" applyBorder="1" applyAlignment="1">
      <alignment horizontal="center" vertical="top"/>
    </xf>
    <xf numFmtId="0" fontId="16" fillId="0" borderId="8" xfId="1" applyFont="1" applyBorder="1" applyAlignment="1">
      <alignment horizontal="center" vertical="top"/>
    </xf>
    <xf numFmtId="0" fontId="16" fillId="0" borderId="5" xfId="1" applyFont="1" applyBorder="1" applyAlignment="1">
      <alignment horizontal="center" vertical="top"/>
    </xf>
    <xf numFmtId="0" fontId="18" fillId="0" borderId="4" xfId="1" applyFont="1" applyBorder="1" applyAlignment="1">
      <alignment vertical="top"/>
    </xf>
    <xf numFmtId="0" fontId="16" fillId="0" borderId="5" xfId="1" applyFont="1" applyBorder="1" applyAlignment="1">
      <alignment horizontal="centerContinuous" vertical="top"/>
    </xf>
    <xf numFmtId="0" fontId="18" fillId="0" borderId="8" xfId="1" applyFont="1" applyBorder="1" applyAlignment="1">
      <alignment vertical="top"/>
    </xf>
    <xf numFmtId="0" fontId="3" fillId="0" borderId="5" xfId="1" applyFont="1" applyBorder="1" applyAlignment="1">
      <alignment vertical="top"/>
    </xf>
    <xf numFmtId="0" fontId="3" fillId="0" borderId="1" xfId="1" applyFont="1" applyBorder="1" applyAlignment="1">
      <alignment horizontal="centerContinuous" vertical="top"/>
    </xf>
    <xf numFmtId="0" fontId="3" fillId="0" borderId="4" xfId="1" applyFont="1" applyBorder="1" applyAlignment="1">
      <alignment horizontal="centerContinuous" vertical="top"/>
    </xf>
    <xf numFmtId="0" fontId="3" fillId="0" borderId="4" xfId="1" applyFont="1" applyBorder="1" applyAlignment="1">
      <alignment horizontal="center" vertical="top"/>
    </xf>
    <xf numFmtId="0" fontId="3" fillId="0" borderId="8" xfId="1" applyFont="1" applyBorder="1" applyAlignment="1">
      <alignment horizontal="center" vertical="top"/>
    </xf>
    <xf numFmtId="0" fontId="3" fillId="0" borderId="5" xfId="1" applyFont="1" applyBorder="1" applyAlignment="1">
      <alignment horizontal="left" vertical="top"/>
    </xf>
    <xf numFmtId="0" fontId="3" fillId="0" borderId="11" xfId="1" applyFont="1" applyBorder="1" applyAlignment="1">
      <alignment vertical="top"/>
    </xf>
    <xf numFmtId="0" fontId="3" fillId="0" borderId="6" xfId="1" applyFont="1" applyBorder="1" applyAlignment="1">
      <alignment horizontal="centerContinuous" vertical="top"/>
    </xf>
    <xf numFmtId="0" fontId="11" fillId="0" borderId="1" xfId="1" applyFont="1" applyBorder="1" applyAlignment="1">
      <alignment horizontal="center" vertical="top"/>
    </xf>
    <xf numFmtId="0" fontId="16" fillId="0" borderId="9" xfId="1" applyFont="1" applyBorder="1" applyAlignment="1">
      <alignment horizontal="center" vertical="top"/>
    </xf>
    <xf numFmtId="0" fontId="3" fillId="0" borderId="0" xfId="1" applyFont="1" applyAlignment="1">
      <alignment horizontal="center"/>
    </xf>
    <xf numFmtId="0" fontId="3" fillId="0" borderId="0" xfId="1" applyFont="1" applyAlignment="1">
      <alignment vertical="top"/>
    </xf>
    <xf numFmtId="0" fontId="3" fillId="0" borderId="5" xfId="1" applyFont="1" applyBorder="1" applyAlignment="1">
      <alignment horizontal="centerContinuous" vertical="top"/>
    </xf>
    <xf numFmtId="0" fontId="2" fillId="0" borderId="9" xfId="1" applyFont="1" applyBorder="1" applyAlignment="1">
      <alignment horizontal="center" vertical="top"/>
    </xf>
    <xf numFmtId="0" fontId="16" fillId="0" borderId="9" xfId="1" applyFont="1" applyBorder="1" applyAlignment="1">
      <alignment horizontal="left" vertical="top"/>
    </xf>
    <xf numFmtId="0" fontId="3" fillId="3" borderId="5" xfId="1" applyFont="1" applyFill="1" applyBorder="1" applyAlignment="1">
      <alignment vertical="top"/>
    </xf>
    <xf numFmtId="0" fontId="19" fillId="0" borderId="1" xfId="1" applyFont="1" applyBorder="1"/>
    <xf numFmtId="0" fontId="17" fillId="0" borderId="3" xfId="1" applyFont="1" applyBorder="1" applyAlignment="1">
      <alignment vertical="top"/>
    </xf>
    <xf numFmtId="14" fontId="3" fillId="0" borderId="6" xfId="1" applyNumberFormat="1" applyFont="1" applyBorder="1" applyAlignment="1">
      <alignment vertical="top"/>
    </xf>
    <xf numFmtId="14" fontId="3" fillId="0" borderId="3" xfId="1" applyNumberFormat="1" applyFont="1" applyBorder="1" applyAlignment="1">
      <alignment vertical="top"/>
    </xf>
    <xf numFmtId="0" fontId="19" fillId="0" borderId="3" xfId="1" applyFont="1" applyBorder="1" applyAlignment="1">
      <alignment vertical="top"/>
    </xf>
    <xf numFmtId="0" fontId="16" fillId="0" borderId="3" xfId="1" applyFont="1" applyBorder="1" applyAlignment="1">
      <alignment vertical="top"/>
    </xf>
    <xf numFmtId="0" fontId="21" fillId="0" borderId="3" xfId="1" applyFont="1" applyBorder="1" applyAlignment="1">
      <alignment vertical="top"/>
    </xf>
    <xf numFmtId="0" fontId="3" fillId="0" borderId="3" xfId="1" applyFont="1" applyBorder="1"/>
    <xf numFmtId="0" fontId="3" fillId="0" borderId="9" xfId="1" applyFont="1" applyBorder="1" applyAlignment="1">
      <alignment horizontal="centerContinuous" vertical="top"/>
    </xf>
    <xf numFmtId="0" fontId="3" fillId="0" borderId="4" xfId="1" applyFont="1" applyBorder="1" applyAlignment="1">
      <alignment vertical="top"/>
    </xf>
    <xf numFmtId="0" fontId="11" fillId="0" borderId="6" xfId="1" applyFont="1" applyBorder="1" applyAlignment="1">
      <alignment vertical="top"/>
    </xf>
    <xf numFmtId="0" fontId="11" fillId="0" borderId="6" xfId="1" applyFont="1" applyBorder="1" applyAlignment="1">
      <alignment horizontal="center" vertical="top"/>
    </xf>
    <xf numFmtId="0" fontId="3" fillId="0" borderId="8" xfId="1" applyFont="1" applyBorder="1" applyAlignment="1">
      <alignment horizontal="centerContinuous" vertical="top"/>
    </xf>
    <xf numFmtId="0" fontId="3" fillId="0" borderId="8" xfId="1" applyFont="1" applyBorder="1" applyAlignment="1">
      <alignment vertical="top"/>
    </xf>
    <xf numFmtId="0" fontId="3" fillId="0" borderId="11" xfId="1" applyFont="1" applyBorder="1" applyAlignment="1">
      <alignment horizontal="centerContinuous" vertical="top"/>
    </xf>
    <xf numFmtId="0" fontId="3" fillId="0" borderId="11" xfId="1" applyFont="1" applyBorder="1" applyAlignment="1">
      <alignment horizontal="left" vertical="top"/>
    </xf>
    <xf numFmtId="0" fontId="3" fillId="0" borderId="6" xfId="1" applyFont="1" applyBorder="1" applyAlignment="1">
      <alignment horizontal="center" vertical="top"/>
    </xf>
    <xf numFmtId="0" fontId="3" fillId="3" borderId="8" xfId="1" applyFont="1" applyFill="1" applyBorder="1"/>
    <xf numFmtId="0" fontId="3" fillId="0" borderId="8" xfId="1" applyFont="1" applyBorder="1"/>
    <xf numFmtId="0" fontId="19" fillId="0" borderId="9" xfId="1" applyFont="1" applyBorder="1" applyAlignment="1">
      <alignment horizontal="centerContinuous" vertical="top"/>
    </xf>
    <xf numFmtId="0" fontId="17" fillId="0" borderId="9" xfId="1" applyFont="1" applyBorder="1" applyAlignment="1">
      <alignment horizontal="centerContinuous" vertical="top"/>
    </xf>
    <xf numFmtId="0" fontId="19" fillId="0" borderId="9" xfId="1" applyFont="1" applyBorder="1" applyAlignment="1">
      <alignment vertical="top"/>
    </xf>
    <xf numFmtId="0" fontId="17" fillId="0" borderId="9" xfId="1" applyFont="1" applyBorder="1" applyAlignment="1">
      <alignment vertical="top"/>
    </xf>
    <xf numFmtId="0" fontId="19" fillId="0" borderId="0" xfId="1" applyFont="1" applyAlignment="1">
      <alignment vertical="top"/>
    </xf>
    <xf numFmtId="0" fontId="17" fillId="0" borderId="0" xfId="1" applyFont="1" applyAlignment="1">
      <alignment vertical="top"/>
    </xf>
    <xf numFmtId="0" fontId="19" fillId="0" borderId="10" xfId="1" applyFont="1" applyBorder="1" applyAlignment="1">
      <alignment vertical="top"/>
    </xf>
    <xf numFmtId="0" fontId="17" fillId="0" borderId="2" xfId="1" applyFont="1" applyBorder="1" applyAlignment="1">
      <alignment vertical="top"/>
    </xf>
    <xf numFmtId="0" fontId="3" fillId="0" borderId="13" xfId="1" applyFont="1" applyBorder="1" applyAlignment="1">
      <alignment vertical="top"/>
    </xf>
    <xf numFmtId="0" fontId="17" fillId="0" borderId="8" xfId="1" applyFont="1" applyBorder="1" applyAlignment="1">
      <alignment vertical="top"/>
    </xf>
    <xf numFmtId="0" fontId="3" fillId="0" borderId="0" xfId="1" applyFont="1" applyAlignment="1">
      <alignment horizontal="centerContinuous" vertical="top"/>
    </xf>
    <xf numFmtId="0" fontId="15" fillId="0" borderId="0" xfId="1" applyFont="1" applyAlignment="1">
      <alignment vertical="top"/>
    </xf>
    <xf numFmtId="0" fontId="17" fillId="0" borderId="3" xfId="1" applyFont="1" applyBorder="1" applyAlignment="1">
      <alignment horizontal="center"/>
    </xf>
    <xf numFmtId="0" fontId="19" fillId="0" borderId="3" xfId="1" applyFont="1" applyBorder="1" applyAlignment="1">
      <alignment horizontal="center"/>
    </xf>
    <xf numFmtId="0" fontId="24" fillId="0" borderId="3" xfId="1" applyFont="1" applyBorder="1" applyAlignment="1">
      <alignment horizontal="center"/>
    </xf>
    <xf numFmtId="0" fontId="25" fillId="0" borderId="3" xfId="1" applyFont="1" applyBorder="1" applyAlignment="1">
      <alignment horizont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3" fillId="0" borderId="10" xfId="1" applyFont="1" applyBorder="1" applyAlignment="1">
      <alignment horizontal="centerContinuous" vertical="top"/>
    </xf>
    <xf numFmtId="0" fontId="3" fillId="0" borderId="5" xfId="1" applyFont="1" applyBorder="1" applyAlignment="1">
      <alignment horizontal="center" vertical="top"/>
    </xf>
    <xf numFmtId="0" fontId="3" fillId="0" borderId="1" xfId="1" applyFont="1" applyBorder="1" applyAlignment="1">
      <alignment horizontal="right" vertical="top"/>
    </xf>
    <xf numFmtId="2" fontId="11" fillId="0" borderId="1" xfId="1" applyNumberFormat="1" applyFont="1" applyBorder="1" applyAlignment="1">
      <alignment horizontal="center"/>
    </xf>
    <xf numFmtId="0" fontId="3" fillId="0" borderId="0" xfId="1" applyFont="1"/>
    <xf numFmtId="0" fontId="3" fillId="0" borderId="10" xfId="1" applyFont="1" applyBorder="1"/>
    <xf numFmtId="0" fontId="3" fillId="0" borderId="8" xfId="1" applyFont="1" applyBorder="1" applyAlignment="1">
      <alignment horizontal="center"/>
    </xf>
    <xf numFmtId="0" fontId="20" fillId="6" borderId="1" xfId="1" applyFont="1" applyFill="1" applyBorder="1" applyAlignment="1">
      <alignment vertical="top"/>
    </xf>
    <xf numFmtId="0" fontId="3" fillId="0" borderId="5" xfId="1" applyFont="1" applyBorder="1" applyAlignment="1">
      <alignment horizontal="center"/>
    </xf>
    <xf numFmtId="0" fontId="18" fillId="0" borderId="0" xfId="1" applyFont="1" applyAlignment="1">
      <alignment vertical="top"/>
    </xf>
    <xf numFmtId="0" fontId="3" fillId="0" borderId="12" xfId="1" applyFont="1" applyBorder="1" applyAlignment="1">
      <alignment vertical="top"/>
    </xf>
    <xf numFmtId="14" fontId="3" fillId="0" borderId="9" xfId="1" applyNumberFormat="1" applyFont="1" applyBorder="1" applyAlignment="1">
      <alignment vertical="top"/>
    </xf>
    <xf numFmtId="0" fontId="3" fillId="0" borderId="6" xfId="1" applyFont="1" applyBorder="1" applyAlignment="1">
      <alignment horizontal="right" vertical="top"/>
    </xf>
    <xf numFmtId="0" fontId="19" fillId="0" borderId="6" xfId="1" applyFont="1" applyBorder="1" applyAlignment="1">
      <alignment horizontal="right" vertical="top"/>
    </xf>
    <xf numFmtId="0" fontId="17" fillId="0" borderId="1" xfId="1" applyFont="1" applyBorder="1" applyAlignment="1">
      <alignment horizontal="right" vertical="top"/>
    </xf>
    <xf numFmtId="0" fontId="3" fillId="0" borderId="4" xfId="1" applyFont="1" applyBorder="1"/>
    <xf numFmtId="14" fontId="3" fillId="0" borderId="1" xfId="1" applyNumberFormat="1" applyFont="1" applyBorder="1" applyAlignment="1">
      <alignment horizontal="center" vertical="top"/>
    </xf>
    <xf numFmtId="2" fontId="26" fillId="0" borderId="1" xfId="1" applyNumberFormat="1" applyFont="1" applyBorder="1" applyAlignment="1">
      <alignment horizontal="center"/>
    </xf>
    <xf numFmtId="0" fontId="18" fillId="3" borderId="8" xfId="1" applyFont="1" applyFill="1" applyBorder="1" applyAlignment="1">
      <alignment vertical="top"/>
    </xf>
    <xf numFmtId="0" fontId="18" fillId="0" borderId="9" xfId="1" applyFont="1" applyBorder="1" applyAlignment="1">
      <alignment horizontal="center" vertical="top"/>
    </xf>
    <xf numFmtId="0" fontId="18" fillId="0" borderId="9" xfId="1" applyFont="1" applyBorder="1" applyAlignment="1">
      <alignment vertical="top"/>
    </xf>
    <xf numFmtId="0" fontId="18" fillId="4" borderId="10" xfId="1" applyFont="1" applyFill="1" applyBorder="1" applyAlignment="1">
      <alignment vertical="top"/>
    </xf>
    <xf numFmtId="0" fontId="18" fillId="0" borderId="11" xfId="1" applyFont="1" applyBorder="1" applyAlignment="1">
      <alignment vertical="top"/>
    </xf>
    <xf numFmtId="0" fontId="3" fillId="4" borderId="5" xfId="1" applyFont="1" applyFill="1" applyBorder="1" applyAlignment="1">
      <alignment vertical="top"/>
    </xf>
    <xf numFmtId="0" fontId="3" fillId="4" borderId="8" xfId="1" applyFont="1" applyFill="1" applyBorder="1" applyAlignment="1">
      <alignment vertical="top"/>
    </xf>
    <xf numFmtId="0" fontId="18" fillId="0" borderId="5" xfId="1" applyFont="1" applyBorder="1" applyAlignment="1">
      <alignment vertical="top"/>
    </xf>
    <xf numFmtId="0" fontId="15" fillId="0" borderId="0" xfId="1" applyFont="1"/>
    <xf numFmtId="0" fontId="17" fillId="0" borderId="3" xfId="1" applyFont="1" applyBorder="1"/>
    <xf numFmtId="0" fontId="19" fillId="0" borderId="3" xfId="1" applyFont="1" applyBorder="1"/>
    <xf numFmtId="0" fontId="24" fillId="0" borderId="3" xfId="1" applyFont="1" applyBorder="1"/>
    <xf numFmtId="0" fontId="25" fillId="0" borderId="3" xfId="1" applyFont="1" applyBorder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left" vertical="top"/>
    </xf>
    <xf numFmtId="0" fontId="3" fillId="3" borderId="9" xfId="1" applyFont="1" applyFill="1" applyBorder="1" applyAlignment="1">
      <alignment vertical="top"/>
    </xf>
    <xf numFmtId="14" fontId="3" fillId="0" borderId="2" xfId="1" applyNumberFormat="1" applyFont="1" applyBorder="1" applyAlignment="1">
      <alignment horizontal="center" vertical="top"/>
    </xf>
    <xf numFmtId="0" fontId="3" fillId="0" borderId="2" xfId="1" applyFont="1" applyBorder="1" applyAlignment="1">
      <alignment horizontal="center" vertical="top"/>
    </xf>
    <xf numFmtId="0" fontId="3" fillId="0" borderId="2" xfId="1" applyFont="1" applyBorder="1" applyAlignment="1">
      <alignment vertical="top"/>
    </xf>
    <xf numFmtId="0" fontId="3" fillId="4" borderId="2" xfId="1" applyFont="1" applyFill="1" applyBorder="1" applyAlignment="1">
      <alignment vertical="top"/>
    </xf>
    <xf numFmtId="0" fontId="19" fillId="4" borderId="2" xfId="1" applyFont="1" applyFill="1" applyBorder="1" applyAlignment="1">
      <alignment vertical="top"/>
    </xf>
    <xf numFmtId="0" fontId="17" fillId="4" borderId="2" xfId="1" applyFont="1" applyFill="1" applyBorder="1" applyAlignment="1">
      <alignment vertical="top"/>
    </xf>
    <xf numFmtId="0" fontId="19" fillId="0" borderId="2" xfId="1" applyFont="1" applyBorder="1" applyAlignment="1">
      <alignment vertical="top"/>
    </xf>
    <xf numFmtId="0" fontId="18" fillId="0" borderId="13" xfId="1" applyFont="1" applyBorder="1" applyAlignment="1">
      <alignment vertical="top"/>
    </xf>
    <xf numFmtId="0" fontId="18" fillId="0" borderId="2" xfId="1" applyFont="1" applyBorder="1" applyAlignment="1">
      <alignment vertical="top"/>
    </xf>
    <xf numFmtId="0" fontId="19" fillId="0" borderId="8" xfId="1" applyFont="1" applyBorder="1" applyAlignment="1">
      <alignment vertical="top"/>
    </xf>
    <xf numFmtId="14" fontId="3" fillId="0" borderId="0" xfId="1" applyNumberFormat="1" applyFont="1"/>
    <xf numFmtId="0" fontId="3" fillId="4" borderId="8" xfId="1" applyFont="1" applyFill="1" applyBorder="1"/>
    <xf numFmtId="0" fontId="19" fillId="4" borderId="8" xfId="1" applyFont="1" applyFill="1" applyBorder="1" applyAlignment="1">
      <alignment vertical="top"/>
    </xf>
    <xf numFmtId="0" fontId="20" fillId="4" borderId="8" xfId="1" applyFont="1" applyFill="1" applyBorder="1" applyAlignment="1">
      <alignment vertical="top"/>
    </xf>
    <xf numFmtId="0" fontId="3" fillId="0" borderId="8" xfId="1" applyFont="1" applyBorder="1" applyAlignment="1">
      <alignment horizontal="left" vertical="top"/>
    </xf>
    <xf numFmtId="0" fontId="3" fillId="0" borderId="4" xfId="1" applyFont="1" applyBorder="1" applyAlignment="1">
      <alignment horizontal="left" vertical="top"/>
    </xf>
    <xf numFmtId="14" fontId="3" fillId="0" borderId="1" xfId="1" applyNumberFormat="1" applyFont="1" applyBorder="1" applyAlignment="1">
      <alignment horizontal="center"/>
    </xf>
    <xf numFmtId="0" fontId="22" fillId="0" borderId="9" xfId="1" applyFont="1" applyBorder="1" applyAlignment="1">
      <alignment vertical="top"/>
    </xf>
    <xf numFmtId="0" fontId="23" fillId="0" borderId="9" xfId="1" applyFont="1" applyBorder="1" applyAlignment="1">
      <alignment vertical="top"/>
    </xf>
    <xf numFmtId="0" fontId="3" fillId="4" borderId="8" xfId="1" applyFont="1" applyFill="1" applyBorder="1" applyAlignment="1">
      <alignment horizontal="centerContinuous" vertical="top"/>
    </xf>
    <xf numFmtId="0" fontId="17" fillId="4" borderId="8" xfId="1" applyFont="1" applyFill="1" applyBorder="1" applyAlignment="1">
      <alignment horizontal="centerContinuous" vertical="top"/>
    </xf>
    <xf numFmtId="0" fontId="17" fillId="0" borderId="8" xfId="1" applyFont="1" applyBorder="1" applyAlignment="1">
      <alignment horizontal="centerContinuous" vertical="top"/>
    </xf>
    <xf numFmtId="0" fontId="18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18" fillId="0" borderId="10" xfId="1" applyFont="1" applyBorder="1" applyAlignment="1">
      <alignment horizontal="center" vertical="top"/>
    </xf>
    <xf numFmtId="0" fontId="22" fillId="0" borderId="10" xfId="1" applyFont="1" applyBorder="1" applyAlignment="1">
      <alignment vertical="top"/>
    </xf>
    <xf numFmtId="0" fontId="3" fillId="0" borderId="9" xfId="1" applyFont="1" applyBorder="1"/>
    <xf numFmtId="14" fontId="3" fillId="0" borderId="6" xfId="1" applyNumberFormat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14" fontId="3" fillId="0" borderId="3" xfId="1" applyNumberFormat="1" applyFont="1" applyBorder="1" applyAlignment="1">
      <alignment horizontal="center"/>
    </xf>
    <xf numFmtId="0" fontId="17" fillId="0" borderId="4" xfId="1" applyFont="1" applyBorder="1" applyAlignment="1">
      <alignment vertical="top"/>
    </xf>
    <xf numFmtId="0" fontId="17" fillId="0" borderId="11" xfId="1" applyFont="1" applyBorder="1" applyAlignment="1">
      <alignment vertical="top"/>
    </xf>
    <xf numFmtId="0" fontId="15" fillId="0" borderId="8" xfId="1" applyFont="1" applyBorder="1" applyAlignment="1">
      <alignment horizontal="center"/>
    </xf>
    <xf numFmtId="0" fontId="27" fillId="0" borderId="0" xfId="2"/>
    <xf numFmtId="0" fontId="30" fillId="7" borderId="27" xfId="2" applyFont="1" applyFill="1" applyBorder="1" applyAlignment="1">
      <alignment horizontal="center" vertical="center"/>
    </xf>
    <xf numFmtId="0" fontId="31" fillId="7" borderId="28" xfId="2" applyFont="1" applyFill="1" applyBorder="1" applyAlignment="1">
      <alignment horizontal="center" vertical="center"/>
    </xf>
    <xf numFmtId="0" fontId="32" fillId="7" borderId="1" xfId="2" applyFont="1" applyFill="1" applyBorder="1" applyAlignment="1">
      <alignment horizontal="center" vertical="center"/>
    </xf>
    <xf numFmtId="0" fontId="30" fillId="7" borderId="1" xfId="2" applyFont="1" applyFill="1" applyBorder="1" applyAlignment="1">
      <alignment horizontal="center" vertical="center"/>
    </xf>
    <xf numFmtId="0" fontId="32" fillId="7" borderId="26" xfId="2" applyFont="1" applyFill="1" applyBorder="1" applyAlignment="1">
      <alignment horizontal="center" vertical="center"/>
    </xf>
    <xf numFmtId="0" fontId="31" fillId="7" borderId="29" xfId="2" applyFont="1" applyFill="1" applyBorder="1" applyAlignment="1">
      <alignment horizontal="center" vertical="center"/>
    </xf>
    <xf numFmtId="0" fontId="30" fillId="7" borderId="21" xfId="2" applyFont="1" applyFill="1" applyBorder="1" applyAlignment="1">
      <alignment horizontal="center" vertical="center"/>
    </xf>
    <xf numFmtId="0" fontId="31" fillId="7" borderId="24" xfId="2" applyFont="1" applyFill="1" applyBorder="1" applyAlignment="1">
      <alignment horizontal="center" vertical="center"/>
    </xf>
    <xf numFmtId="0" fontId="32" fillId="7" borderId="23" xfId="2" applyFont="1" applyFill="1" applyBorder="1" applyAlignment="1">
      <alignment horizontal="center" vertical="center"/>
    </xf>
    <xf numFmtId="0" fontId="30" fillId="7" borderId="23" xfId="2" applyFont="1" applyFill="1" applyBorder="1" applyAlignment="1">
      <alignment horizontal="center" vertical="center"/>
    </xf>
    <xf numFmtId="0" fontId="32" fillId="7" borderId="20" xfId="2" applyFont="1" applyFill="1" applyBorder="1" applyAlignment="1">
      <alignment horizontal="center" vertical="center"/>
    </xf>
    <xf numFmtId="0" fontId="31" fillId="7" borderId="25" xfId="2" applyFont="1" applyFill="1" applyBorder="1" applyAlignment="1">
      <alignment horizontal="center" vertical="center"/>
    </xf>
    <xf numFmtId="0" fontId="17" fillId="7" borderId="33" xfId="2" applyFont="1" applyFill="1" applyBorder="1" applyAlignment="1">
      <alignment horizontal="center" vertical="center"/>
    </xf>
    <xf numFmtId="0" fontId="17" fillId="7" borderId="35" xfId="2" applyFont="1" applyFill="1" applyBorder="1" applyAlignment="1">
      <alignment horizontal="center" vertical="center"/>
    </xf>
    <xf numFmtId="0" fontId="1" fillId="0" borderId="0" xfId="1" applyBorder="1"/>
    <xf numFmtId="0" fontId="3" fillId="0" borderId="0" xfId="1" applyFont="1" applyBorder="1" applyAlignment="1">
      <alignment vertical="top"/>
    </xf>
    <xf numFmtId="0" fontId="3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top"/>
    </xf>
    <xf numFmtId="0" fontId="36" fillId="0" borderId="0" xfId="1" applyFont="1" applyFill="1" applyBorder="1" applyAlignment="1">
      <alignment horizontal="center" vertical="center"/>
    </xf>
    <xf numFmtId="0" fontId="35" fillId="0" borderId="1" xfId="1" applyFont="1" applyBorder="1" applyAlignment="1">
      <alignment horizontal="center" vertical="center"/>
    </xf>
    <xf numFmtId="0" fontId="35" fillId="0" borderId="6" xfId="1" applyFont="1" applyBorder="1" applyAlignment="1">
      <alignment horizontal="center" vertical="center"/>
    </xf>
    <xf numFmtId="0" fontId="20" fillId="10" borderId="6" xfId="1" applyFont="1" applyFill="1" applyBorder="1" applyAlignment="1">
      <alignment vertical="top"/>
    </xf>
    <xf numFmtId="0" fontId="2" fillId="0" borderId="0" xfId="1" applyFont="1" applyAlignment="1">
      <alignment horizontal="center"/>
    </xf>
    <xf numFmtId="0" fontId="2" fillId="0" borderId="0" xfId="1" applyFont="1" applyBorder="1"/>
    <xf numFmtId="0" fontId="3" fillId="4" borderId="9" xfId="1" applyFont="1" applyFill="1" applyBorder="1"/>
    <xf numFmtId="0" fontId="2" fillId="0" borderId="4" xfId="1" applyFont="1" applyBorder="1" applyAlignment="1">
      <alignment horizontal="center" vertical="center"/>
    </xf>
    <xf numFmtId="0" fontId="3" fillId="0" borderId="37" xfId="1" applyFont="1" applyBorder="1" applyAlignment="1">
      <alignment vertical="top"/>
    </xf>
    <xf numFmtId="0" fontId="2" fillId="0" borderId="7" xfId="1" applyFont="1" applyBorder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 vertical="top"/>
    </xf>
    <xf numFmtId="0" fontId="19" fillId="0" borderId="0" xfId="1" applyFont="1" applyBorder="1" applyAlignment="1">
      <alignment vertical="top"/>
    </xf>
    <xf numFmtId="0" fontId="2" fillId="0" borderId="8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4" xfId="1" applyFont="1" applyBorder="1" applyAlignment="1">
      <alignment horizontal="center" vertical="top"/>
    </xf>
    <xf numFmtId="0" fontId="2" fillId="0" borderId="4" xfId="1" applyFont="1" applyBorder="1" applyAlignment="1">
      <alignment vertical="top"/>
    </xf>
    <xf numFmtId="0" fontId="13" fillId="0" borderId="7" xfId="1" applyFont="1" applyBorder="1"/>
    <xf numFmtId="0" fontId="20" fillId="10" borderId="1" xfId="1" applyFont="1" applyFill="1" applyBorder="1" applyAlignment="1">
      <alignment vertical="top"/>
    </xf>
    <xf numFmtId="0" fontId="13" fillId="0" borderId="38" xfId="1" applyFont="1" applyBorder="1"/>
    <xf numFmtId="0" fontId="17" fillId="0" borderId="10" xfId="1" applyFont="1" applyBorder="1" applyAlignment="1">
      <alignment vertical="top"/>
    </xf>
    <xf numFmtId="0" fontId="18" fillId="0" borderId="0" xfId="1" applyFont="1" applyBorder="1" applyAlignment="1">
      <alignment vertical="top"/>
    </xf>
    <xf numFmtId="0" fontId="2" fillId="0" borderId="38" xfId="1" applyFont="1" applyBorder="1"/>
    <xf numFmtId="0" fontId="2" fillId="4" borderId="0" xfId="1" applyFont="1" applyFill="1" applyBorder="1" applyAlignment="1">
      <alignment vertical="top"/>
    </xf>
    <xf numFmtId="0" fontId="2" fillId="5" borderId="3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/>
    </xf>
    <xf numFmtId="0" fontId="2" fillId="0" borderId="10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3" fillId="0" borderId="38" xfId="1" applyFont="1" applyBorder="1" applyAlignment="1">
      <alignment vertical="top"/>
    </xf>
    <xf numFmtId="0" fontId="15" fillId="0" borderId="8" xfId="1" applyFont="1" applyBorder="1" applyAlignment="1">
      <alignment horizontal="left"/>
    </xf>
    <xf numFmtId="0" fontId="1" fillId="0" borderId="2" xfId="1" applyBorder="1"/>
    <xf numFmtId="0" fontId="3" fillId="4" borderId="2" xfId="1" applyFont="1" applyFill="1" applyBorder="1"/>
    <xf numFmtId="0" fontId="3" fillId="4" borderId="2" xfId="1" applyFont="1" applyFill="1" applyBorder="1" applyAlignment="1">
      <alignment horizontal="right" vertical="top"/>
    </xf>
    <xf numFmtId="2" fontId="26" fillId="4" borderId="2" xfId="1" applyNumberFormat="1" applyFont="1" applyFill="1" applyBorder="1" applyAlignment="1">
      <alignment horizontal="center"/>
    </xf>
    <xf numFmtId="0" fontId="3" fillId="0" borderId="7" xfId="1" applyFont="1" applyBorder="1"/>
    <xf numFmtId="0" fontId="5" fillId="0" borderId="0" xfId="1" applyFont="1" applyBorder="1" applyAlignment="1">
      <alignment horizontal="center" vertical="center"/>
    </xf>
    <xf numFmtId="0" fontId="3" fillId="0" borderId="7" xfId="1" applyFont="1" applyBorder="1" applyAlignment="1">
      <alignment vertical="top"/>
    </xf>
    <xf numFmtId="2" fontId="3" fillId="0" borderId="3" xfId="1" applyNumberFormat="1" applyFont="1" applyBorder="1" applyAlignment="1">
      <alignment horizontal="center"/>
    </xf>
    <xf numFmtId="0" fontId="3" fillId="0" borderId="2" xfId="1" applyFont="1" applyBorder="1"/>
    <xf numFmtId="0" fontId="37" fillId="0" borderId="28" xfId="1" applyFont="1" applyBorder="1" applyAlignment="1">
      <alignment horizontal="center" vertical="center"/>
    </xf>
    <xf numFmtId="0" fontId="35" fillId="0" borderId="23" xfId="1" applyFont="1" applyBorder="1" applyAlignment="1">
      <alignment horizontal="center" vertical="center"/>
    </xf>
    <xf numFmtId="0" fontId="37" fillId="0" borderId="24" xfId="1" applyFont="1" applyBorder="1" applyAlignment="1">
      <alignment horizontal="center" vertical="center"/>
    </xf>
    <xf numFmtId="0" fontId="36" fillId="0" borderId="26" xfId="1" applyFont="1" applyBorder="1" applyAlignment="1">
      <alignment horizontal="center" vertical="center"/>
    </xf>
    <xf numFmtId="0" fontId="36" fillId="0" borderId="20" xfId="1" applyFont="1" applyBorder="1" applyAlignment="1">
      <alignment horizontal="center" vertical="center" wrapText="1"/>
    </xf>
    <xf numFmtId="0" fontId="35" fillId="0" borderId="17" xfId="1" applyFont="1" applyBorder="1" applyAlignment="1">
      <alignment horizontal="center" vertical="center"/>
    </xf>
    <xf numFmtId="0" fontId="37" fillId="0" borderId="18" xfId="1" applyFont="1" applyBorder="1" applyAlignment="1">
      <alignment horizontal="center" vertical="center"/>
    </xf>
    <xf numFmtId="0" fontId="36" fillId="0" borderId="14" xfId="1" applyFont="1" applyBorder="1" applyAlignment="1">
      <alignment horizontal="center" vertical="center"/>
    </xf>
    <xf numFmtId="0" fontId="36" fillId="0" borderId="26" xfId="1" applyFont="1" applyFill="1" applyBorder="1" applyAlignment="1">
      <alignment horizontal="center" vertical="center"/>
    </xf>
    <xf numFmtId="0" fontId="36" fillId="0" borderId="20" xfId="1" applyFont="1" applyBorder="1" applyAlignment="1">
      <alignment horizontal="center" vertical="center"/>
    </xf>
    <xf numFmtId="0" fontId="36" fillId="0" borderId="45" xfId="1" applyFont="1" applyBorder="1" applyAlignment="1">
      <alignment horizontal="center" vertical="center"/>
    </xf>
    <xf numFmtId="0" fontId="38" fillId="9" borderId="39" xfId="1" applyFont="1" applyFill="1" applyBorder="1" applyAlignment="1">
      <alignment horizontal="center" vertical="center" wrapText="1"/>
    </xf>
    <xf numFmtId="0" fontId="38" fillId="9" borderId="35" xfId="1" applyFont="1" applyFill="1" applyBorder="1" applyAlignment="1">
      <alignment horizontal="center" vertical="center" wrapText="1"/>
    </xf>
    <xf numFmtId="0" fontId="38" fillId="9" borderId="48" xfId="1" applyFont="1" applyFill="1" applyBorder="1" applyAlignment="1">
      <alignment horizontal="center" vertical="center" wrapText="1"/>
    </xf>
    <xf numFmtId="0" fontId="38" fillId="9" borderId="47" xfId="1" applyFont="1" applyFill="1" applyBorder="1" applyAlignment="1">
      <alignment horizontal="center" vertical="center" wrapText="1"/>
    </xf>
    <xf numFmtId="0" fontId="35" fillId="0" borderId="10" xfId="1" applyFont="1" applyBorder="1" applyAlignment="1">
      <alignment horizontal="center" vertical="center"/>
    </xf>
    <xf numFmtId="0" fontId="35" fillId="0" borderId="4" xfId="1" applyFont="1" applyBorder="1" applyAlignment="1">
      <alignment horizontal="center" vertical="center"/>
    </xf>
    <xf numFmtId="0" fontId="35" fillId="0" borderId="42" xfId="1" applyFont="1" applyBorder="1" applyAlignment="1">
      <alignment horizontal="center" vertical="center"/>
    </xf>
    <xf numFmtId="0" fontId="38" fillId="9" borderId="39" xfId="1" applyFont="1" applyFill="1" applyBorder="1" applyAlignment="1">
      <alignment horizontal="center" vertical="center"/>
    </xf>
    <xf numFmtId="0" fontId="38" fillId="0" borderId="45" xfId="1" applyFont="1" applyBorder="1" applyAlignment="1">
      <alignment horizontal="center" vertical="center"/>
    </xf>
    <xf numFmtId="0" fontId="38" fillId="0" borderId="26" xfId="1" applyFont="1" applyBorder="1" applyAlignment="1">
      <alignment horizontal="center" vertical="center"/>
    </xf>
    <xf numFmtId="0" fontId="38" fillId="0" borderId="20" xfId="1" applyFont="1" applyBorder="1" applyAlignment="1">
      <alignment horizontal="center" vertical="center"/>
    </xf>
    <xf numFmtId="0" fontId="35" fillId="0" borderId="40" xfId="1" applyFont="1" applyBorder="1" applyAlignment="1">
      <alignment horizontal="center" vertical="center"/>
    </xf>
    <xf numFmtId="0" fontId="35" fillId="0" borderId="4" xfId="1" applyFont="1" applyFill="1" applyBorder="1" applyAlignment="1">
      <alignment horizontal="center" vertical="center"/>
    </xf>
    <xf numFmtId="0" fontId="38" fillId="0" borderId="14" xfId="1" applyFont="1" applyBorder="1" applyAlignment="1">
      <alignment horizontal="center" vertical="center"/>
    </xf>
    <xf numFmtId="0" fontId="38" fillId="0" borderId="26" xfId="1" applyFont="1" applyFill="1" applyBorder="1" applyAlignment="1">
      <alignment horizontal="center" vertical="center"/>
    </xf>
    <xf numFmtId="0" fontId="5" fillId="0" borderId="46" xfId="1" applyNumberFormat="1" applyFont="1" applyFill="1" applyBorder="1" applyAlignment="1">
      <alignment horizontal="center" vertical="center"/>
    </xf>
    <xf numFmtId="0" fontId="5" fillId="0" borderId="28" xfId="1" applyNumberFormat="1" applyFont="1" applyFill="1" applyBorder="1" applyAlignment="1">
      <alignment horizontal="center" vertical="center"/>
    </xf>
    <xf numFmtId="0" fontId="5" fillId="8" borderId="28" xfId="1" applyNumberFormat="1" applyFont="1" applyFill="1" applyBorder="1" applyAlignment="1">
      <alignment horizontal="center" vertical="center"/>
    </xf>
    <xf numFmtId="0" fontId="1" fillId="8" borderId="28" xfId="1" applyFill="1" applyBorder="1"/>
    <xf numFmtId="0" fontId="37" fillId="8" borderId="24" xfId="1" applyNumberFormat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center" vertical="center"/>
    </xf>
    <xf numFmtId="0" fontId="37" fillId="8" borderId="28" xfId="1" applyFont="1" applyFill="1" applyBorder="1" applyAlignment="1">
      <alignment horizontal="center" vertical="center"/>
    </xf>
    <xf numFmtId="0" fontId="5" fillId="8" borderId="28" xfId="1" applyFont="1" applyFill="1" applyBorder="1" applyAlignment="1">
      <alignment horizontal="center" vertical="center"/>
    </xf>
    <xf numFmtId="0" fontId="39" fillId="0" borderId="28" xfId="1" applyFont="1" applyBorder="1" applyAlignment="1">
      <alignment horizontal="center"/>
    </xf>
    <xf numFmtId="0" fontId="37" fillId="0" borderId="24" xfId="1" applyFont="1" applyFill="1" applyBorder="1" applyAlignment="1">
      <alignment horizontal="center" vertical="center"/>
    </xf>
    <xf numFmtId="0" fontId="38" fillId="9" borderId="33" xfId="1" applyFont="1" applyFill="1" applyBorder="1" applyAlignment="1">
      <alignment horizontal="center" vertical="center" wrapText="1"/>
    </xf>
    <xf numFmtId="0" fontId="35" fillId="0" borderId="49" xfId="1" applyFont="1" applyBorder="1" applyAlignment="1">
      <alignment horizontal="center" vertical="center"/>
    </xf>
    <xf numFmtId="0" fontId="37" fillId="0" borderId="46" xfId="1" applyFont="1" applyFill="1" applyBorder="1" applyAlignment="1">
      <alignment horizontal="center" vertical="center"/>
    </xf>
    <xf numFmtId="0" fontId="35" fillId="0" borderId="27" xfId="1" applyFont="1" applyBorder="1" applyAlignment="1">
      <alignment horizontal="center" vertical="center"/>
    </xf>
    <xf numFmtId="0" fontId="37" fillId="0" borderId="28" xfId="1" applyFont="1" applyFill="1" applyBorder="1" applyAlignment="1">
      <alignment horizontal="center" vertical="center"/>
    </xf>
    <xf numFmtId="0" fontId="35" fillId="0" borderId="21" xfId="1" applyFont="1" applyBorder="1" applyAlignment="1">
      <alignment horizontal="center" vertical="center"/>
    </xf>
    <xf numFmtId="0" fontId="35" fillId="0" borderId="15" xfId="1" applyFont="1" applyBorder="1" applyAlignment="1">
      <alignment horizontal="center" vertical="center"/>
    </xf>
    <xf numFmtId="0" fontId="35" fillId="0" borderId="27" xfId="1" applyFont="1" applyFill="1" applyBorder="1" applyAlignment="1">
      <alignment horizontal="center" vertical="center"/>
    </xf>
    <xf numFmtId="0" fontId="38" fillId="9" borderId="32" xfId="1" applyFont="1" applyFill="1" applyBorder="1" applyAlignment="1">
      <alignment horizontal="center" vertical="center" wrapText="1"/>
    </xf>
    <xf numFmtId="0" fontId="37" fillId="0" borderId="41" xfId="1" applyFont="1" applyBorder="1" applyAlignment="1">
      <alignment horizontal="center" vertical="center"/>
    </xf>
    <xf numFmtId="0" fontId="37" fillId="0" borderId="29" xfId="1" applyFont="1" applyBorder="1" applyAlignment="1">
      <alignment horizontal="center" vertical="center"/>
    </xf>
    <xf numFmtId="0" fontId="37" fillId="0" borderId="29" xfId="1" applyNumberFormat="1" applyFont="1" applyBorder="1" applyAlignment="1">
      <alignment horizontal="center" vertical="center"/>
    </xf>
    <xf numFmtId="0" fontId="37" fillId="0" borderId="25" xfId="1" applyFont="1" applyBorder="1" applyAlignment="1">
      <alignment horizontal="center" vertical="center"/>
    </xf>
    <xf numFmtId="0" fontId="35" fillId="0" borderId="46" xfId="1" applyFont="1" applyBorder="1" applyAlignment="1">
      <alignment horizontal="center" vertical="center"/>
    </xf>
    <xf numFmtId="0" fontId="35" fillId="0" borderId="28" xfId="1" applyFont="1" applyBorder="1" applyAlignment="1">
      <alignment horizontal="center" vertical="center"/>
    </xf>
    <xf numFmtId="0" fontId="35" fillId="0" borderId="24" xfId="1" applyFont="1" applyBorder="1" applyAlignment="1">
      <alignment horizontal="center" vertical="center"/>
    </xf>
    <xf numFmtId="0" fontId="37" fillId="0" borderId="19" xfId="1" applyFont="1" applyBorder="1" applyAlignment="1">
      <alignment horizontal="center" vertical="center"/>
    </xf>
    <xf numFmtId="0" fontId="35" fillId="0" borderId="18" xfId="1" applyFont="1" applyBorder="1" applyAlignment="1">
      <alignment horizontal="center" vertical="center"/>
    </xf>
    <xf numFmtId="0" fontId="1" fillId="7" borderId="0" xfId="1" applyFill="1"/>
    <xf numFmtId="0" fontId="3" fillId="7" borderId="37" xfId="1" applyFont="1" applyFill="1" applyBorder="1" applyAlignment="1">
      <alignment vertical="top"/>
    </xf>
    <xf numFmtId="0" fontId="2" fillId="7" borderId="4" xfId="1" applyFont="1" applyFill="1" applyBorder="1" applyAlignment="1">
      <alignment horizontal="center" vertical="center"/>
    </xf>
    <xf numFmtId="0" fontId="2" fillId="7" borderId="5" xfId="1" applyFont="1" applyFill="1" applyBorder="1" applyAlignment="1">
      <alignment horizontal="center" vertical="center"/>
    </xf>
    <xf numFmtId="0" fontId="2" fillId="7" borderId="0" xfId="1" applyFont="1" applyFill="1" applyAlignment="1">
      <alignment horizontal="left"/>
    </xf>
    <xf numFmtId="0" fontId="2" fillId="7" borderId="0" xfId="1" applyFont="1" applyFill="1" applyAlignment="1">
      <alignment horizontal="center"/>
    </xf>
    <xf numFmtId="0" fontId="13" fillId="7" borderId="0" xfId="1" applyFont="1" applyFill="1"/>
    <xf numFmtId="0" fontId="2" fillId="7" borderId="2" xfId="1" applyFont="1" applyFill="1" applyBorder="1"/>
    <xf numFmtId="0" fontId="2" fillId="7" borderId="0" xfId="1" applyFont="1" applyFill="1"/>
    <xf numFmtId="0" fontId="3" fillId="7" borderId="0" xfId="1" applyFont="1" applyFill="1" applyAlignment="1">
      <alignment vertical="top"/>
    </xf>
    <xf numFmtId="0" fontId="3" fillId="7" borderId="0" xfId="1" applyFont="1" applyFill="1" applyAlignment="1">
      <alignment horizontal="centerContinuous" vertical="top"/>
    </xf>
    <xf numFmtId="0" fontId="13" fillId="7" borderId="1" xfId="1" applyFont="1" applyFill="1" applyBorder="1" applyAlignment="1">
      <alignment horizontal="center"/>
    </xf>
    <xf numFmtId="0" fontId="2" fillId="7" borderId="1" xfId="1" applyFont="1" applyFill="1" applyBorder="1" applyAlignment="1">
      <alignment horizontal="center"/>
    </xf>
    <xf numFmtId="0" fontId="5" fillId="7" borderId="1" xfId="1" applyFont="1" applyFill="1" applyBorder="1" applyAlignment="1">
      <alignment horizontal="center"/>
    </xf>
    <xf numFmtId="0" fontId="8" fillId="7" borderId="1" xfId="1" applyFont="1" applyFill="1" applyBorder="1" applyAlignment="1">
      <alignment horizontal="center"/>
    </xf>
    <xf numFmtId="0" fontId="6" fillId="7" borderId="1" xfId="1" applyFont="1" applyFill="1" applyBorder="1" applyAlignment="1">
      <alignment horizontal="center"/>
    </xf>
    <xf numFmtId="0" fontId="4" fillId="7" borderId="1" xfId="1" applyFont="1" applyFill="1" applyBorder="1" applyAlignment="1">
      <alignment horizontal="center"/>
    </xf>
    <xf numFmtId="0" fontId="2" fillId="7" borderId="0" xfId="1" applyFont="1" applyFill="1" applyAlignment="1">
      <alignment vertical="top"/>
    </xf>
    <xf numFmtId="0" fontId="3" fillId="7" borderId="0" xfId="1" applyFont="1" applyFill="1"/>
    <xf numFmtId="0" fontId="1" fillId="7" borderId="2" xfId="1" applyFill="1" applyBorder="1"/>
    <xf numFmtId="0" fontId="3" fillId="7" borderId="2" xfId="1" applyFont="1" applyFill="1" applyBorder="1" applyAlignment="1">
      <alignment vertical="top"/>
    </xf>
    <xf numFmtId="0" fontId="1" fillId="7" borderId="0" xfId="1" applyFill="1" applyBorder="1"/>
    <xf numFmtId="0" fontId="3" fillId="7" borderId="0" xfId="1" applyFont="1" applyFill="1" applyBorder="1" applyAlignment="1">
      <alignment vertical="top"/>
    </xf>
    <xf numFmtId="0" fontId="28" fillId="12" borderId="26" xfId="2" applyFont="1" applyFill="1" applyBorder="1" applyAlignment="1">
      <alignment horizontal="center" vertical="center"/>
    </xf>
    <xf numFmtId="0" fontId="28" fillId="12" borderId="30" xfId="2" applyFont="1" applyFill="1" applyBorder="1" applyAlignment="1">
      <alignment horizontal="center" vertical="center"/>
    </xf>
    <xf numFmtId="0" fontId="28" fillId="12" borderId="20" xfId="2" applyFont="1" applyFill="1" applyBorder="1" applyAlignment="1">
      <alignment horizontal="center" vertical="center"/>
    </xf>
    <xf numFmtId="0" fontId="29" fillId="11" borderId="31" xfId="2" applyFont="1" applyFill="1" applyBorder="1" applyAlignment="1">
      <alignment horizontal="center" vertical="center" wrapText="1"/>
    </xf>
    <xf numFmtId="0" fontId="0" fillId="7" borderId="0" xfId="0" applyFill="1"/>
    <xf numFmtId="0" fontId="43" fillId="0" borderId="6" xfId="1" applyFont="1" applyBorder="1" applyAlignment="1">
      <alignment vertical="top"/>
    </xf>
    <xf numFmtId="0" fontId="43" fillId="0" borderId="1" xfId="1" applyFont="1" applyBorder="1" applyAlignment="1">
      <alignment vertical="top"/>
    </xf>
    <xf numFmtId="0" fontId="44" fillId="4" borderId="0" xfId="1" applyFont="1" applyFill="1"/>
    <xf numFmtId="0" fontId="43" fillId="4" borderId="9" xfId="1" applyFont="1" applyFill="1" applyBorder="1" applyAlignment="1">
      <alignment vertical="top"/>
    </xf>
    <xf numFmtId="0" fontId="16" fillId="0" borderId="11" xfId="1" applyFont="1" applyBorder="1" applyAlignment="1">
      <alignment horizontal="left" vertical="top"/>
    </xf>
    <xf numFmtId="0" fontId="16" fillId="0" borderId="10" xfId="1" applyFont="1" applyBorder="1" applyAlignment="1">
      <alignment horizontal="left" vertical="top"/>
    </xf>
    <xf numFmtId="0" fontId="44" fillId="0" borderId="1" xfId="1" applyFont="1" applyBorder="1" applyAlignment="1">
      <alignment vertical="top"/>
    </xf>
    <xf numFmtId="0" fontId="44" fillId="0" borderId="0" xfId="1" applyFont="1"/>
    <xf numFmtId="0" fontId="44" fillId="0" borderId="6" xfId="1" applyFont="1" applyBorder="1" applyAlignment="1">
      <alignment vertical="top"/>
    </xf>
    <xf numFmtId="0" fontId="43" fillId="0" borderId="9" xfId="1" applyFont="1" applyBorder="1" applyAlignment="1">
      <alignment vertical="top"/>
    </xf>
    <xf numFmtId="0" fontId="43" fillId="0" borderId="2" xfId="1" applyFont="1" applyBorder="1" applyAlignment="1">
      <alignment vertical="top"/>
    </xf>
    <xf numFmtId="0" fontId="43" fillId="0" borderId="8" xfId="1" applyFont="1" applyBorder="1" applyAlignment="1">
      <alignment vertical="top"/>
    </xf>
    <xf numFmtId="0" fontId="44" fillId="0" borderId="1" xfId="1" applyFont="1" applyBorder="1"/>
    <xf numFmtId="0" fontId="44" fillId="0" borderId="9" xfId="1" applyFont="1" applyBorder="1" applyAlignment="1">
      <alignment vertical="top"/>
    </xf>
    <xf numFmtId="0" fontId="42" fillId="7" borderId="0" xfId="0" applyFont="1" applyFill="1" applyAlignment="1">
      <alignment horizontal="center" wrapText="1"/>
    </xf>
    <xf numFmtId="0" fontId="42" fillId="7" borderId="0" xfId="0" applyFont="1" applyFill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8" xfId="1" applyFont="1" applyBorder="1" applyAlignment="1">
      <alignment horizontal="center" vertical="top"/>
    </xf>
    <xf numFmtId="0" fontId="2" fillId="4" borderId="9" xfId="1" applyFont="1" applyFill="1" applyBorder="1" applyAlignment="1">
      <alignment horizontal="center" vertical="top"/>
    </xf>
    <xf numFmtId="0" fontId="2" fillId="0" borderId="9" xfId="1" applyFont="1" applyBorder="1" applyAlignment="1">
      <alignment horizontal="center" vertical="center"/>
    </xf>
    <xf numFmtId="0" fontId="41" fillId="0" borderId="9" xfId="1" applyFont="1" applyBorder="1" applyAlignment="1">
      <alignment horizontal="center" vertical="top"/>
    </xf>
    <xf numFmtId="0" fontId="16" fillId="0" borderId="8" xfId="1" applyFont="1" applyBorder="1" applyAlignment="1">
      <alignment horizontal="center" vertical="top"/>
    </xf>
    <xf numFmtId="0" fontId="16" fillId="0" borderId="4" xfId="1" applyFont="1" applyBorder="1" applyAlignment="1">
      <alignment horizontal="center" vertical="top"/>
    </xf>
    <xf numFmtId="0" fontId="16" fillId="0" borderId="5" xfId="1" applyFont="1" applyBorder="1" applyAlignment="1">
      <alignment horizontal="center" vertical="top"/>
    </xf>
    <xf numFmtId="0" fontId="2" fillId="0" borderId="9" xfId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top"/>
    </xf>
    <xf numFmtId="0" fontId="3" fillId="0" borderId="11" xfId="1" applyFont="1" applyBorder="1" applyAlignment="1">
      <alignment horizontal="center" vertical="top"/>
    </xf>
    <xf numFmtId="0" fontId="3" fillId="0" borderId="9" xfId="1" applyFont="1" applyBorder="1" applyAlignment="1">
      <alignment horizontal="center" vertical="top"/>
    </xf>
    <xf numFmtId="0" fontId="3" fillId="0" borderId="10" xfId="1" applyFont="1" applyBorder="1" applyAlignment="1">
      <alignment horizontal="center" vertical="top"/>
    </xf>
    <xf numFmtId="0" fontId="2" fillId="0" borderId="11" xfId="1" applyFont="1" applyBorder="1" applyAlignment="1">
      <alignment horizontal="center" vertical="top"/>
    </xf>
    <xf numFmtId="0" fontId="2" fillId="4" borderId="11" xfId="1" applyFont="1" applyFill="1" applyBorder="1" applyAlignment="1">
      <alignment horizontal="center" vertical="top"/>
    </xf>
    <xf numFmtId="0" fontId="2" fillId="4" borderId="10" xfId="1" applyFont="1" applyFill="1" applyBorder="1" applyAlignment="1">
      <alignment horizontal="center" vertical="top"/>
    </xf>
    <xf numFmtId="0" fontId="28" fillId="0" borderId="0" xfId="2" applyFont="1" applyAlignment="1">
      <alignment horizontal="center" vertical="center" wrapText="1"/>
    </xf>
    <xf numFmtId="0" fontId="28" fillId="0" borderId="0" xfId="2" applyFont="1" applyBorder="1" applyAlignment="1">
      <alignment horizontal="center" vertical="center" wrapText="1"/>
    </xf>
    <xf numFmtId="0" fontId="29" fillId="11" borderId="14" xfId="2" applyFont="1" applyFill="1" applyBorder="1" applyAlignment="1">
      <alignment horizontal="center" vertical="center"/>
    </xf>
    <xf numFmtId="0" fontId="29" fillId="11" borderId="20" xfId="2" applyFont="1" applyFill="1" applyBorder="1" applyAlignment="1">
      <alignment horizontal="center" vertical="center"/>
    </xf>
    <xf numFmtId="0" fontId="29" fillId="11" borderId="15" xfId="2" applyFont="1" applyFill="1" applyBorder="1" applyAlignment="1">
      <alignment horizontal="center" wrapText="1"/>
    </xf>
    <xf numFmtId="0" fontId="29" fillId="11" borderId="21" xfId="2" applyFont="1" applyFill="1" applyBorder="1" applyAlignment="1">
      <alignment horizontal="center" wrapText="1"/>
    </xf>
    <xf numFmtId="0" fontId="29" fillId="11" borderId="16" xfId="2" applyFont="1" applyFill="1" applyBorder="1" applyAlignment="1">
      <alignment horizontal="center" vertical="center" wrapText="1"/>
    </xf>
    <xf numFmtId="0" fontId="29" fillId="11" borderId="22" xfId="2" applyFont="1" applyFill="1" applyBorder="1" applyAlignment="1">
      <alignment horizontal="center" vertical="center" wrapText="1"/>
    </xf>
    <xf numFmtId="0" fontId="29" fillId="11" borderId="17" xfId="2" applyFont="1" applyFill="1" applyBorder="1" applyAlignment="1">
      <alignment horizontal="center" vertical="center" wrapText="1"/>
    </xf>
    <xf numFmtId="0" fontId="29" fillId="11" borderId="23" xfId="2" applyFont="1" applyFill="1" applyBorder="1" applyAlignment="1">
      <alignment horizontal="center" vertical="center" wrapText="1"/>
    </xf>
    <xf numFmtId="0" fontId="29" fillId="11" borderId="18" xfId="2" applyFont="1" applyFill="1" applyBorder="1" applyAlignment="1">
      <alignment horizontal="center" vertical="center" wrapText="1"/>
    </xf>
    <xf numFmtId="0" fontId="29" fillId="11" borderId="24" xfId="2" applyFont="1" applyFill="1" applyBorder="1" applyAlignment="1">
      <alignment horizontal="center" vertical="center" wrapText="1"/>
    </xf>
    <xf numFmtId="0" fontId="29" fillId="11" borderId="17" xfId="2" applyFont="1" applyFill="1" applyBorder="1" applyAlignment="1">
      <alignment horizontal="center" wrapText="1"/>
    </xf>
    <xf numFmtId="0" fontId="29" fillId="11" borderId="23" xfId="2" applyFont="1" applyFill="1" applyBorder="1" applyAlignment="1">
      <alignment horizontal="center" wrapText="1"/>
    </xf>
    <xf numFmtId="0" fontId="29" fillId="11" borderId="18" xfId="2" applyFont="1" applyFill="1" applyBorder="1" applyAlignment="1">
      <alignment horizontal="center" wrapText="1"/>
    </xf>
    <xf numFmtId="0" fontId="29" fillId="11" borderId="24" xfId="2" applyFont="1" applyFill="1" applyBorder="1" applyAlignment="1">
      <alignment horizontal="center" wrapText="1"/>
    </xf>
    <xf numFmtId="0" fontId="29" fillId="11" borderId="14" xfId="2" applyFont="1" applyFill="1" applyBorder="1" applyAlignment="1">
      <alignment horizontal="center" wrapText="1"/>
    </xf>
    <xf numFmtId="0" fontId="29" fillId="11" borderId="20" xfId="2" applyFont="1" applyFill="1" applyBorder="1" applyAlignment="1">
      <alignment horizontal="center" wrapText="1"/>
    </xf>
    <xf numFmtId="0" fontId="29" fillId="11" borderId="19" xfId="2" applyFont="1" applyFill="1" applyBorder="1" applyAlignment="1">
      <alignment horizontal="center" wrapText="1"/>
    </xf>
    <xf numFmtId="0" fontId="29" fillId="11" borderId="25" xfId="2" applyFont="1" applyFill="1" applyBorder="1" applyAlignment="1">
      <alignment horizontal="center" wrapText="1"/>
    </xf>
    <xf numFmtId="0" fontId="33" fillId="7" borderId="31" xfId="2" applyFont="1" applyFill="1" applyBorder="1" applyAlignment="1">
      <alignment horizontal="center" vertical="center"/>
    </xf>
    <xf numFmtId="0" fontId="33" fillId="7" borderId="32" xfId="2" applyFont="1" applyFill="1" applyBorder="1" applyAlignment="1">
      <alignment horizontal="center" vertical="center"/>
    </xf>
    <xf numFmtId="0" fontId="34" fillId="7" borderId="34" xfId="2" applyFont="1" applyFill="1" applyBorder="1" applyAlignment="1">
      <alignment horizontal="center" vertical="center"/>
    </xf>
    <xf numFmtId="0" fontId="34" fillId="7" borderId="32" xfId="2" applyFont="1" applyFill="1" applyBorder="1" applyAlignment="1">
      <alignment horizontal="center" vertical="center"/>
    </xf>
    <xf numFmtId="0" fontId="33" fillId="7" borderId="34" xfId="2" applyFont="1" applyFill="1" applyBorder="1" applyAlignment="1">
      <alignment horizontal="center" vertical="center"/>
    </xf>
    <xf numFmtId="0" fontId="34" fillId="7" borderId="36" xfId="2" applyFont="1" applyFill="1" applyBorder="1" applyAlignment="1">
      <alignment horizontal="center" vertical="center"/>
    </xf>
    <xf numFmtId="0" fontId="40" fillId="0" borderId="0" xfId="1" applyFont="1" applyBorder="1" applyAlignment="1">
      <alignment horizontal="center" vertical="center"/>
    </xf>
    <xf numFmtId="0" fontId="36" fillId="0" borderId="43" xfId="1" applyFont="1" applyBorder="1" applyAlignment="1">
      <alignment horizontal="center" vertical="center"/>
    </xf>
    <xf numFmtId="0" fontId="36" fillId="0" borderId="0" xfId="1" applyFont="1" applyBorder="1" applyAlignment="1">
      <alignment horizontal="center" vertical="center"/>
    </xf>
    <xf numFmtId="0" fontId="36" fillId="0" borderId="44" xfId="1" applyFont="1" applyBorder="1" applyAlignment="1">
      <alignment horizontal="center" vertical="center"/>
    </xf>
    <xf numFmtId="0" fontId="45" fillId="7" borderId="0" xfId="0" applyFont="1" applyFill="1" applyAlignment="1">
      <alignment horizontal="center"/>
    </xf>
    <xf numFmtId="0" fontId="46" fillId="7" borderId="0" xfId="0" applyFont="1" applyFill="1" applyAlignment="1">
      <alignment horizontal="center"/>
    </xf>
    <xf numFmtId="0" fontId="47" fillId="7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'5-а класс'!$BU$15</c:f>
              <c:numCache>
                <c:formatCode>General</c:formatCode>
                <c:ptCount val="1"/>
                <c:pt idx="0">
                  <c:v>3.8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'5-а класс'!$BV$15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'5-а класс'!$BW$15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'5-а класс'!$BX$15</c:f>
              <c:numCache>
                <c:formatCode>General</c:formatCode>
                <c:ptCount val="1"/>
                <c:pt idx="0">
                  <c:v>3.6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'5-а класс'!$BY$15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'5-а класс'!$BZ$15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'5-а класс'!$CA$15</c:f>
              <c:numCache>
                <c:formatCode>General</c:formatCode>
                <c:ptCount val="1"/>
                <c:pt idx="0">
                  <c:v>4.2222222222222223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'5-а класс'!$CB$15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'5-а класс'!$CC$15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'5-а класс'!$CD$15</c:f>
              <c:numCache>
                <c:formatCode>General</c:formatCode>
                <c:ptCount val="1"/>
                <c:pt idx="0">
                  <c:v>4.7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'5-а класс'!$CE$15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dLbl>
              <c:idx val="0"/>
              <c:layout>
                <c:manualLayout>
                  <c:x val="3.0651340996168612E-2"/>
                  <c:y val="-7.2859744990892532E-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'5-а класс'!$CF$15</c:f>
              <c:numCache>
                <c:formatCode>General</c:formatCode>
                <c:ptCount val="1"/>
                <c:pt idx="0">
                  <c:v>4.0805555555555557</c:v>
                </c:pt>
              </c:numCache>
            </c:numRef>
          </c:val>
        </c:ser>
        <c:dLbls>
          <c:showVal val="1"/>
        </c:dLbls>
        <c:gapWidth val="75"/>
        <c:shape val="cylinder"/>
        <c:axId val="65848448"/>
        <c:axId val="65849984"/>
        <c:axId val="0"/>
      </c:bar3DChart>
      <c:catAx>
        <c:axId val="65848448"/>
        <c:scaling>
          <c:orientation val="minMax"/>
        </c:scaling>
        <c:delete val="1"/>
        <c:axPos val="b"/>
        <c:tickLblPos val="nextTo"/>
        <c:crossAx val="65849984"/>
        <c:crosses val="autoZero"/>
        <c:auto val="1"/>
        <c:lblAlgn val="ctr"/>
        <c:lblOffset val="100"/>
      </c:catAx>
      <c:valAx>
        <c:axId val="65849984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5848448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'5-б класс'!$BU$24</c:f>
              <c:numCache>
                <c:formatCode>General</c:formatCode>
                <c:ptCount val="1"/>
                <c:pt idx="0">
                  <c:v>4.0555555555555554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'5-б класс'!$BV$24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'5-б класс'!$BW$24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'5-б класс'!$BX$24</c:f>
              <c:numCache>
                <c:formatCode>General</c:formatCode>
                <c:ptCount val="1"/>
                <c:pt idx="0">
                  <c:v>3.3888888888888888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'5-б класс'!$BY$24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'5-б класс'!$BZ$24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'5-б класс'!$CA$24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'5-б класс'!$CB$24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'5-б класс'!$CC$24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'5-б класс'!$CD$24</c:f>
              <c:numCache>
                <c:formatCode>General</c:formatCode>
                <c:ptCount val="1"/>
                <c:pt idx="0">
                  <c:v>4.117647058823529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'5-б класс'!$CE$24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'5-б класс'!$CF$24</c:f>
              <c:numCache>
                <c:formatCode>General</c:formatCode>
                <c:ptCount val="1"/>
                <c:pt idx="0">
                  <c:v>3.8905228758169934</c:v>
                </c:pt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'5-б класс'!$CG$24</c:f>
              <c:numCache>
                <c:formatCode>General</c:formatCode>
                <c:ptCount val="1"/>
                <c:pt idx="0">
                  <c:v>4.0943512785231055</c:v>
                </c:pt>
              </c:numCache>
            </c:numRef>
          </c:val>
        </c:ser>
        <c:dLbls>
          <c:showVal val="1"/>
        </c:dLbls>
        <c:gapWidth val="75"/>
        <c:shape val="cylinder"/>
        <c:axId val="67497984"/>
        <c:axId val="67499520"/>
        <c:axId val="0"/>
      </c:bar3DChart>
      <c:catAx>
        <c:axId val="67497984"/>
        <c:scaling>
          <c:orientation val="minMax"/>
        </c:scaling>
        <c:delete val="1"/>
        <c:axPos val="b"/>
        <c:majorTickMark val="none"/>
        <c:tickLblPos val="nextTo"/>
        <c:crossAx val="67499520"/>
        <c:crosses val="autoZero"/>
        <c:auto val="1"/>
        <c:lblAlgn val="ctr"/>
        <c:lblOffset val="100"/>
      </c:catAx>
      <c:valAx>
        <c:axId val="67499520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7497984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Lbls>
            <c:dLbl>
              <c:idx val="0"/>
              <c:layout>
                <c:manualLayout>
                  <c:x val="3.8518518518518535E-2"/>
                  <c:y val="-2.234636871508383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'6 кл.'!$BU$24</c:f>
              <c:numCache>
                <c:formatCode>General</c:formatCode>
                <c:ptCount val="1"/>
                <c:pt idx="0">
                  <c:v>4.7333333333333334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'6 кл.'!$BV$24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'6 кл.'!$BW$24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'6 кл.'!$BX$24</c:f>
              <c:numCache>
                <c:formatCode>General</c:formatCode>
                <c:ptCount val="1"/>
                <c:pt idx="0">
                  <c:v>3.6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'6 кл.'!$BY$24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'6 кл.'!$BZ$24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'6 кл.'!$CA$24</c:f>
              <c:numCache>
                <c:formatCode>General</c:formatCode>
                <c:ptCount val="1"/>
                <c:pt idx="0">
                  <c:v>4.2666666666666666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'6 кл.'!$CB$24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'6 кл.'!$CC$24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'6 кл.'!$CD$24</c:f>
              <c:numCache>
                <c:formatCode>General</c:formatCode>
                <c:ptCount val="1"/>
                <c:pt idx="0">
                  <c:v>4.5999999999999996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'6 кл.'!$CE$24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'6 кл.'!$CF$24</c:f>
              <c:numCache>
                <c:formatCode>General</c:formatCode>
                <c:ptCount val="1"/>
                <c:pt idx="0">
                  <c:v>4.3000000000000007</c:v>
                </c:pt>
              </c:numCache>
            </c:numRef>
          </c:val>
        </c:ser>
        <c:dLbls>
          <c:showVal val="1"/>
        </c:dLbls>
        <c:gapWidth val="75"/>
        <c:shape val="cylinder"/>
        <c:axId val="67740032"/>
        <c:axId val="67741568"/>
        <c:axId val="0"/>
      </c:bar3DChart>
      <c:catAx>
        <c:axId val="67740032"/>
        <c:scaling>
          <c:orientation val="minMax"/>
        </c:scaling>
        <c:delete val="1"/>
        <c:axPos val="b"/>
        <c:tickLblPos val="nextTo"/>
        <c:crossAx val="67741568"/>
        <c:crosses val="autoZero"/>
        <c:auto val="1"/>
        <c:lblAlgn val="ctr"/>
        <c:lblOffset val="100"/>
      </c:catAx>
      <c:valAx>
        <c:axId val="6774156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774003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</a:t>
            </a:r>
            <a:r>
              <a:rPr lang="ru-RU" baseline="0"/>
              <a:t> физического развития</a:t>
            </a:r>
            <a:endParaRPr lang="ru-RU"/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33%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0.14397660818713462"/>
                  <c:y val="-0.20898550724637691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50%</a:t>
                    </a:r>
                  </a:p>
                </c:rich>
              </c:tx>
              <c:showCatName val="1"/>
              <c:showPercent val="1"/>
            </c:dLbl>
            <c:dLbl>
              <c:idx val="4"/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17%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'6 кл.'!$D$29:$D$33</c:f>
              <c:numCache>
                <c:formatCode>General</c:formatCode>
                <c:ptCount val="5"/>
                <c:pt idx="0">
                  <c:v>33.333333333333336</c:v>
                </c:pt>
                <c:pt idx="1">
                  <c:v>50</c:v>
                </c:pt>
                <c:pt idx="4">
                  <c:v>16.666666666666668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'6 кл.'!$O$24</c:f>
              <c:numCache>
                <c:formatCode>General</c:formatCode>
                <c:ptCount val="1"/>
                <c:pt idx="0">
                  <c:v>4.0555555555555554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'6 кл.'!$P$24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'6 кл.'!$Q$24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'6 кл.'!$R$24</c:f>
              <c:numCache>
                <c:formatCode>General</c:formatCode>
                <c:ptCount val="1"/>
                <c:pt idx="0">
                  <c:v>4.8947368421052628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'6 кл.'!$S$24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'6 кл.'!$T$24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'6 кл.'!$U$24</c:f>
              <c:numCache>
                <c:formatCode>General</c:formatCode>
                <c:ptCount val="1"/>
                <c:pt idx="0">
                  <c:v>4.3157894736842106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'6 кл.'!$V$24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'6 кл.'!$W$24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'6 кл.'!$X$24</c:f>
              <c:numCache>
                <c:formatCode>General</c:formatCode>
                <c:ptCount val="1"/>
                <c:pt idx="0">
                  <c:v>4.6315789473684212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'6 кл.'!$Y$24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'6 кл.'!$Z$24</c:f>
              <c:numCache>
                <c:formatCode>General</c:formatCode>
                <c:ptCount val="1"/>
                <c:pt idx="0">
                  <c:v>4.4744152046783618</c:v>
                </c:pt>
              </c:numCache>
            </c:numRef>
          </c:val>
        </c:ser>
        <c:dLbls>
          <c:showVal val="1"/>
        </c:dLbls>
        <c:gapWidth val="75"/>
        <c:shape val="cylinder"/>
        <c:axId val="67812736"/>
        <c:axId val="67822720"/>
        <c:axId val="0"/>
      </c:bar3DChart>
      <c:catAx>
        <c:axId val="67812736"/>
        <c:scaling>
          <c:orientation val="minMax"/>
        </c:scaling>
        <c:delete val="1"/>
        <c:axPos val="b"/>
        <c:majorTickMark val="none"/>
        <c:tickLblPos val="nextTo"/>
        <c:crossAx val="67822720"/>
        <c:crosses val="autoZero"/>
        <c:auto val="1"/>
        <c:lblAlgn val="ctr"/>
        <c:lblOffset val="100"/>
      </c:catAx>
      <c:valAx>
        <c:axId val="67822720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7812736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'6 кл.'!$AE$24</c:f>
              <c:numCache>
                <c:formatCode>General</c:formatCode>
                <c:ptCount val="1"/>
                <c:pt idx="0">
                  <c:v>4.2666666666666666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'6 кл.'!$AF$24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'6 кл.'!$AG$24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'6 кл.'!$AH$24</c:f>
              <c:numCache>
                <c:formatCode>General</c:formatCode>
                <c:ptCount val="1"/>
                <c:pt idx="0">
                  <c:v>3.6666666666666665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'6 кл.'!$AI$24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'6 кл.'!$AJ$24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'6 кл.'!$AK$24</c:f>
              <c:numCache>
                <c:formatCode>General</c:formatCode>
                <c:ptCount val="1"/>
                <c:pt idx="0">
                  <c:v>4.4000000000000004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'6 кл.'!$AL$24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'6 кл.'!$AM$24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'6 кл.'!$AN$24</c:f>
              <c:numCache>
                <c:formatCode>General</c:formatCode>
                <c:ptCount val="1"/>
                <c:pt idx="0">
                  <c:v>4.0714285714285712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'6 кл.'!$AO$24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'6 кл.'!$AP$24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'6 кл.'!$AQ$24</c:f>
              <c:numCache>
                <c:formatCode>General</c:formatCode>
                <c:ptCount val="1"/>
                <c:pt idx="0">
                  <c:v>4.5714285714285712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'6 кл.'!$AR$24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'6 кл.'!$AS$24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'6 кл.'!$AT$24</c:f>
              <c:numCache>
                <c:formatCode>General</c:formatCode>
                <c:ptCount val="1"/>
                <c:pt idx="0">
                  <c:v>4.615384615384615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'6 кл.'!$AU$24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'6 кл.'!$AV$24</c:f>
              <c:numCache>
                <c:formatCode>General</c:formatCode>
                <c:ptCount val="1"/>
                <c:pt idx="0">
                  <c:v>4.2652625152625143</c:v>
                </c:pt>
              </c:numCache>
            </c:numRef>
          </c:val>
        </c:ser>
        <c:dLbls>
          <c:showVal val="1"/>
        </c:dLbls>
        <c:gapWidth val="75"/>
        <c:shape val="cylinder"/>
        <c:axId val="68162688"/>
        <c:axId val="68164224"/>
        <c:axId val="0"/>
      </c:bar3DChart>
      <c:catAx>
        <c:axId val="68162688"/>
        <c:scaling>
          <c:orientation val="minMax"/>
        </c:scaling>
        <c:delete val="1"/>
        <c:axPos val="b"/>
        <c:numFmt formatCode="General" sourceLinked="1"/>
        <c:majorTickMark val="none"/>
        <c:tickLblPos val="nextTo"/>
        <c:crossAx val="68164224"/>
        <c:crosses val="autoZero"/>
        <c:auto val="1"/>
        <c:lblAlgn val="ctr"/>
        <c:lblOffset val="100"/>
      </c:catAx>
      <c:valAx>
        <c:axId val="68164224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8162688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'6 кл.'!$BB$24</c:f>
              <c:numCache>
                <c:formatCode>General</c:formatCode>
                <c:ptCount val="1"/>
                <c:pt idx="0">
                  <c:v>3.3846153846153846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'6 кл.'!$BC$24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'6 кл.'!$BD$24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'6 кл.'!$BE$24</c:f>
              <c:numCache>
                <c:formatCode>General</c:formatCode>
                <c:ptCount val="1"/>
                <c:pt idx="0">
                  <c:v>3.3846153846153846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'6 кл.'!$BF$24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'6 кл.'!$BG$24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'6 кл.'!$BH$24</c:f>
              <c:numCache>
                <c:formatCode>General</c:formatCode>
                <c:ptCount val="1"/>
                <c:pt idx="0">
                  <c:v>4.333333333333333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'6 кл.'!$BI$24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'6 кл.'!$BJ$24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'6 кл.'!$BK$24</c:f>
              <c:numCache>
                <c:formatCode>General</c:formatCode>
                <c:ptCount val="1"/>
                <c:pt idx="0">
                  <c:v>4.5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'6 кл.'!$BL$24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'6 кл.'!$BM$24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'6 кл.'!$BN$24</c:f>
              <c:numCache>
                <c:formatCode>General</c:formatCode>
                <c:ptCount val="1"/>
                <c:pt idx="0">
                  <c:v>4.5714285714285712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'6 кл.'!$BO$24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'6 кл.'!$BP$24</c:f>
              <c:numCache>
                <c:formatCode>General</c:formatCode>
                <c:ptCount val="1"/>
                <c:pt idx="0">
                  <c:v>4.0347985347985347</c:v>
                </c:pt>
              </c:numCache>
            </c:numRef>
          </c:val>
        </c:ser>
        <c:dLbls>
          <c:showVal val="1"/>
        </c:dLbls>
        <c:gapWidth val="75"/>
        <c:shape val="cylinder"/>
        <c:axId val="68283392"/>
        <c:axId val="68293376"/>
        <c:axId val="0"/>
      </c:bar3DChart>
      <c:catAx>
        <c:axId val="68283392"/>
        <c:scaling>
          <c:orientation val="minMax"/>
        </c:scaling>
        <c:delete val="1"/>
        <c:axPos val="b"/>
        <c:majorTickMark val="none"/>
        <c:tickLblPos val="nextTo"/>
        <c:crossAx val="68293376"/>
        <c:crosses val="autoZero"/>
        <c:auto val="1"/>
        <c:lblAlgn val="ctr"/>
        <c:lblOffset val="100"/>
      </c:catAx>
      <c:valAx>
        <c:axId val="68293376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8283392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'7-а класс'!$BU$15</c:f>
              <c:numCache>
                <c:formatCode>General</c:formatCode>
                <c:ptCount val="1"/>
                <c:pt idx="0">
                  <c:v>4.5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'7-а класс'!$BV$15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'7-а класс'!$BW$15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'7-а класс'!$BX$15</c:f>
              <c:numCache>
                <c:formatCode>General</c:formatCode>
                <c:ptCount val="1"/>
                <c:pt idx="0">
                  <c:v>4.25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'7-а класс'!$BY$15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'7-а класс'!$BZ$15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'7-а класс'!$CA$15</c:f>
              <c:numCache>
                <c:formatCode>General</c:formatCode>
                <c:ptCount val="1"/>
                <c:pt idx="0">
                  <c:v>4.375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'7-а класс'!$CB$15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'7-а класс'!$CC$15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'7-а класс'!$CD$15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'7-а класс'!$CE$15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'7-а класс'!$CF$15</c:f>
              <c:numCache>
                <c:formatCode>General</c:formatCode>
                <c:ptCount val="1"/>
                <c:pt idx="0">
                  <c:v>4.53125</c:v>
                </c:pt>
              </c:numCache>
            </c:numRef>
          </c:val>
        </c:ser>
        <c:dLbls>
          <c:showVal val="1"/>
        </c:dLbls>
        <c:gapWidth val="75"/>
        <c:shape val="cylinder"/>
        <c:axId val="68769664"/>
        <c:axId val="68771200"/>
        <c:axId val="0"/>
      </c:bar3DChart>
      <c:catAx>
        <c:axId val="68769664"/>
        <c:scaling>
          <c:orientation val="minMax"/>
        </c:scaling>
        <c:delete val="1"/>
        <c:axPos val="b"/>
        <c:tickLblPos val="nextTo"/>
        <c:crossAx val="68771200"/>
        <c:crosses val="autoZero"/>
        <c:auto val="1"/>
        <c:lblAlgn val="ctr"/>
        <c:lblOffset val="100"/>
      </c:catAx>
      <c:valAx>
        <c:axId val="68771200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876966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 физического развития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8728308233315494E-2"/>
                  <c:y val="-0.10166906556035336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40%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7.9202278113294111E-2"/>
                  <c:y val="-4.9332543109530764E-4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50%</a:t>
                    </a:r>
                  </a:p>
                </c:rich>
              </c:tx>
              <c:showCatName val="1"/>
              <c:showPercent val="1"/>
            </c:dLbl>
            <c:dLbl>
              <c:idx val="4"/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10%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'7-а класс'!$D$20:$D$24</c:f>
              <c:numCache>
                <c:formatCode>General</c:formatCode>
                <c:ptCount val="5"/>
                <c:pt idx="0">
                  <c:v>40</c:v>
                </c:pt>
                <c:pt idx="1">
                  <c:v>50</c:v>
                </c:pt>
                <c:pt idx="4">
                  <c:v>10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'7-а класс'!$O$15</c:f>
              <c:numCache>
                <c:formatCode>General</c:formatCode>
                <c:ptCount val="1"/>
                <c:pt idx="0">
                  <c:v>4.125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'7-а класс'!$P$15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'7-а класс'!$Q$15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'7-а класс'!$R$15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'7-а класс'!$S$15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'7-а класс'!$T$15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'7-а класс'!$U$15</c:f>
              <c:numCache>
                <c:formatCode>General</c:formatCode>
                <c:ptCount val="1"/>
                <c:pt idx="0">
                  <c:v>4.25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'7-а класс'!$V$15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'7-а класс'!$W$15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'7-а класс'!$X$15</c:f>
              <c:numCache>
                <c:formatCode>General</c:formatCode>
                <c:ptCount val="1"/>
                <c:pt idx="0">
                  <c:v>4.875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'7-а класс'!$Y$15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'7-а класс'!$Z$15</c:f>
              <c:numCache>
                <c:formatCode>General</c:formatCode>
                <c:ptCount val="1"/>
                <c:pt idx="0">
                  <c:v>4.5625</c:v>
                </c:pt>
              </c:numCache>
            </c:numRef>
          </c:val>
        </c:ser>
        <c:dLbls>
          <c:showVal val="1"/>
        </c:dLbls>
        <c:gapWidth val="75"/>
        <c:shape val="cylinder"/>
        <c:axId val="68991232"/>
        <c:axId val="68997120"/>
        <c:axId val="0"/>
      </c:bar3DChart>
      <c:catAx>
        <c:axId val="68991232"/>
        <c:scaling>
          <c:orientation val="minMax"/>
        </c:scaling>
        <c:delete val="1"/>
        <c:axPos val="b"/>
        <c:majorTickMark val="none"/>
        <c:tickLblPos val="nextTo"/>
        <c:crossAx val="68997120"/>
        <c:crosses val="autoZero"/>
        <c:auto val="1"/>
        <c:lblAlgn val="ctr"/>
        <c:lblOffset val="100"/>
      </c:catAx>
      <c:valAx>
        <c:axId val="68997120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8991232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'7-а класс'!$AE$15</c:f>
              <c:numCache>
                <c:formatCode>General</c:formatCode>
                <c:ptCount val="1"/>
                <c:pt idx="0">
                  <c:v>4.125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'7-а класс'!$AF$15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'7-а класс'!$AG$15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'7-а класс'!$AH$15</c:f>
              <c:numCache>
                <c:formatCode>General</c:formatCode>
                <c:ptCount val="1"/>
                <c:pt idx="0">
                  <c:v>3.625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'7-а класс'!$AI$15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'7-а класс'!$AJ$15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'7-а класс'!$AK$15</c:f>
              <c:numCache>
                <c:formatCode>General</c:formatCode>
                <c:ptCount val="1"/>
                <c:pt idx="0">
                  <c:v>4.625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'7-а класс'!$AL$15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'7-а класс'!$AM$15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'7-а класс'!$AN$15</c:f>
              <c:numCache>
                <c:formatCode>General</c:formatCode>
                <c:ptCount val="1"/>
                <c:pt idx="0">
                  <c:v>3.875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'7-а класс'!$AO$15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'7-а класс'!$AP$15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'7-а класс'!$AQ$15</c:f>
              <c:numCache>
                <c:formatCode>General</c:formatCode>
                <c:ptCount val="1"/>
                <c:pt idx="0">
                  <c:v>4.5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'7-а класс'!$AR$15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'7-а класс'!$AS$15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'7-а класс'!$AT$15</c:f>
              <c:numCache>
                <c:formatCode>General</c:formatCode>
                <c:ptCount val="1"/>
                <c:pt idx="0">
                  <c:v>4.5714285714285712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'7-а класс'!$AU$15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'7-а класс'!$AV$15</c:f>
              <c:numCache>
                <c:formatCode>General</c:formatCode>
                <c:ptCount val="1"/>
                <c:pt idx="0">
                  <c:v>4.2202380952380949</c:v>
                </c:pt>
              </c:numCache>
            </c:numRef>
          </c:val>
        </c:ser>
        <c:dLbls>
          <c:showVal val="1"/>
        </c:dLbls>
        <c:gapWidth val="75"/>
        <c:shape val="cylinder"/>
        <c:axId val="69160960"/>
        <c:axId val="69162496"/>
        <c:axId val="0"/>
      </c:bar3DChart>
      <c:catAx>
        <c:axId val="69160960"/>
        <c:scaling>
          <c:orientation val="minMax"/>
        </c:scaling>
        <c:delete val="1"/>
        <c:axPos val="b"/>
        <c:majorTickMark val="none"/>
        <c:tickLblPos val="nextTo"/>
        <c:crossAx val="69162496"/>
        <c:crosses val="autoZero"/>
        <c:auto val="1"/>
        <c:lblAlgn val="ctr"/>
        <c:lblOffset val="100"/>
      </c:catAx>
      <c:valAx>
        <c:axId val="69162496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9160960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 физического развития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0.35411431761738832"/>
                  <c:y val="8.6000828843763047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0%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0.15429695371208199"/>
                  <c:y val="-0.13017543859649144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80%</a:t>
                    </a:r>
                  </a:p>
                </c:rich>
              </c:tx>
              <c:showCatName val="1"/>
              <c:showPercent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20%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'5-а класс'!$D$20:$D$24</c:f>
              <c:numCache>
                <c:formatCode>General</c:formatCode>
                <c:ptCount val="5"/>
                <c:pt idx="0">
                  <c:v>0</c:v>
                </c:pt>
                <c:pt idx="1">
                  <c:v>80</c:v>
                </c:pt>
                <c:pt idx="4">
                  <c:v>20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'7-а класс'!$BB$15</c:f>
              <c:numCache>
                <c:formatCode>General</c:formatCode>
                <c:ptCount val="1"/>
                <c:pt idx="0">
                  <c:v>4.333333333333333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'7-а класс'!$BC$15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'7-а класс'!$BD$15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'7-а класс'!$BE$15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'7-а класс'!$BF$15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'7-а класс'!$BG$15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'7-а класс'!$BH$15</c:f>
              <c:numCache>
                <c:formatCode>General</c:formatCode>
                <c:ptCount val="1"/>
                <c:pt idx="0">
                  <c:v>4.375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'7-а класс'!$BI$15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'7-а класс'!$BJ$15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'7-а класс'!$BK$15</c:f>
              <c:numCache>
                <c:formatCode>General</c:formatCode>
                <c:ptCount val="1"/>
                <c:pt idx="0">
                  <c:v>4.625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'7-а класс'!$BL$15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'7-а класс'!$BM$15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'7-а класс'!$BN$15</c:f>
              <c:numCache>
                <c:formatCode>General</c:formatCode>
                <c:ptCount val="1"/>
                <c:pt idx="0">
                  <c:v>4.4285714285714288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'7-а класс'!$BO$15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'7-а класс'!$BP$15</c:f>
              <c:numCache>
                <c:formatCode>General</c:formatCode>
                <c:ptCount val="1"/>
                <c:pt idx="0">
                  <c:v>4.352380952380952</c:v>
                </c:pt>
              </c:numCache>
            </c:numRef>
          </c:val>
        </c:ser>
        <c:dLbls>
          <c:showVal val="1"/>
        </c:dLbls>
        <c:gapWidth val="75"/>
        <c:shape val="cylinder"/>
        <c:axId val="69277568"/>
        <c:axId val="69279104"/>
        <c:axId val="0"/>
      </c:bar3DChart>
      <c:catAx>
        <c:axId val="69277568"/>
        <c:scaling>
          <c:orientation val="minMax"/>
        </c:scaling>
        <c:delete val="1"/>
        <c:axPos val="b"/>
        <c:majorTickMark val="none"/>
        <c:tickLblPos val="nextTo"/>
        <c:crossAx val="69279104"/>
        <c:crosses val="autoZero"/>
        <c:auto val="1"/>
        <c:lblAlgn val="ctr"/>
        <c:lblOffset val="100"/>
      </c:catAx>
      <c:valAx>
        <c:axId val="69279104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9277568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Lbls>
            <c:dLbl>
              <c:idx val="0"/>
              <c:layout>
                <c:manualLayout>
                  <c:x val="4.3196544276457867E-2"/>
                  <c:y val="-4.395604395604402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'7-б класс'!$BU$25</c:f>
              <c:numCache>
                <c:formatCode>General</c:formatCode>
                <c:ptCount val="1"/>
                <c:pt idx="0">
                  <c:v>4.5789473684210522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'7-б класс'!$BV$25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'7-б класс'!$BW$25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'7-б класс'!$BX$25</c:f>
              <c:numCache>
                <c:formatCode>General</c:formatCode>
                <c:ptCount val="1"/>
                <c:pt idx="0">
                  <c:v>3.125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'7-б класс'!$BY$25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'7-б класс'!$BZ$25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'7-б класс'!$CA$25</c:f>
              <c:numCache>
                <c:formatCode>General</c:formatCode>
                <c:ptCount val="1"/>
                <c:pt idx="0">
                  <c:v>4.2105263157894735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'7-б класс'!$CB$25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'7-б класс'!$CC$25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'7-б класс'!$CD$25</c:f>
              <c:numCache>
                <c:formatCode>General</c:formatCode>
                <c:ptCount val="1"/>
                <c:pt idx="0">
                  <c:v>4.25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'7-б класс'!$CE$25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dLbl>
              <c:idx val="0"/>
              <c:layout>
                <c:manualLayout>
                  <c:x val="0"/>
                  <c:y val="-0.14652014652014675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'7-б класс'!$CF$25</c:f>
              <c:numCache>
                <c:formatCode>General</c:formatCode>
                <c:ptCount val="1"/>
                <c:pt idx="0">
                  <c:v>4.0411184210526319</c:v>
                </c:pt>
              </c:numCache>
            </c:numRef>
          </c:val>
        </c:ser>
        <c:ser>
          <c:idx val="12"/>
          <c:order val="12"/>
          <c:dLbls>
            <c:dLbl>
              <c:idx val="0"/>
              <c:layout>
                <c:manualLayout>
                  <c:x val="5.7595392368610505E-2"/>
                  <c:y val="-2.19780219780219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'7-б класс'!$CG$25</c:f>
              <c:numCache>
                <c:formatCode>General</c:formatCode>
                <c:ptCount val="1"/>
                <c:pt idx="0">
                  <c:v>4.1147919891640861</c:v>
                </c:pt>
              </c:numCache>
            </c:numRef>
          </c:val>
        </c:ser>
        <c:dLbls>
          <c:showVal val="1"/>
        </c:dLbls>
        <c:gapWidth val="75"/>
        <c:shape val="cylinder"/>
        <c:axId val="69742976"/>
        <c:axId val="69744512"/>
        <c:axId val="0"/>
      </c:bar3DChart>
      <c:catAx>
        <c:axId val="69742976"/>
        <c:scaling>
          <c:orientation val="minMax"/>
        </c:scaling>
        <c:delete val="1"/>
        <c:axPos val="b"/>
        <c:tickLblPos val="nextTo"/>
        <c:crossAx val="69744512"/>
        <c:crosses val="autoZero"/>
        <c:auto val="1"/>
        <c:lblAlgn val="ctr"/>
        <c:lblOffset val="100"/>
      </c:catAx>
      <c:valAx>
        <c:axId val="69744512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97429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 физического развития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20%</a:t>
                    </a:r>
                  </a:p>
                </c:rich>
              </c:tx>
              <c:showCatName val="1"/>
              <c:showPercent val="1"/>
            </c:dLbl>
            <c:dLbl>
              <c:idx val="1"/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65%</a:t>
                    </a:r>
                  </a:p>
                </c:rich>
              </c:tx>
              <c:showCatName val="1"/>
              <c:showPercent val="1"/>
            </c:dLbl>
            <c:dLbl>
              <c:idx val="4"/>
              <c:layout>
                <c:manualLayout>
                  <c:x val="-0.21498370674680167"/>
                  <c:y val="0.11295732055232217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15%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'7-б класс'!$D$30:$D$34</c:f>
              <c:numCache>
                <c:formatCode>General</c:formatCode>
                <c:ptCount val="5"/>
                <c:pt idx="0">
                  <c:v>20</c:v>
                </c:pt>
                <c:pt idx="1">
                  <c:v>65</c:v>
                </c:pt>
                <c:pt idx="4">
                  <c:v>15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'7-б класс'!$O$25</c:f>
              <c:numCache>
                <c:formatCode>General</c:formatCode>
                <c:ptCount val="1"/>
                <c:pt idx="0">
                  <c:v>3.3157894736842106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'7-б класс'!$P$25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'7-б класс'!$Q$25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'7-б класс'!$R$25</c:f>
              <c:numCache>
                <c:formatCode>General</c:formatCode>
                <c:ptCount val="1"/>
                <c:pt idx="0">
                  <c:v>4.8421052631578947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'7-б класс'!$S$25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'7-б класс'!$T$25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'7-б класс'!$U$25</c:f>
              <c:numCache>
                <c:formatCode>General</c:formatCode>
                <c:ptCount val="1"/>
                <c:pt idx="0">
                  <c:v>4.1578947368421053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'7-б класс'!$V$25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'7-б класс'!$W$25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'7-б класс'!$X$25</c:f>
              <c:numCache>
                <c:formatCode>General</c:formatCode>
                <c:ptCount val="1"/>
                <c:pt idx="0">
                  <c:v>4.9411764705882355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'7-б класс'!$Y$25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'7-б класс'!$Z$25</c:f>
              <c:numCache>
                <c:formatCode>General</c:formatCode>
                <c:ptCount val="1"/>
                <c:pt idx="0">
                  <c:v>4.314241486068112</c:v>
                </c:pt>
              </c:numCache>
            </c:numRef>
          </c:val>
        </c:ser>
        <c:dLbls>
          <c:showVal val="1"/>
        </c:dLbls>
        <c:gapWidth val="75"/>
        <c:shape val="cylinder"/>
        <c:axId val="69864832"/>
        <c:axId val="69874816"/>
        <c:axId val="0"/>
      </c:bar3DChart>
      <c:catAx>
        <c:axId val="69864832"/>
        <c:scaling>
          <c:orientation val="minMax"/>
        </c:scaling>
        <c:delete val="1"/>
        <c:axPos val="b"/>
        <c:majorTickMark val="none"/>
        <c:tickLblPos val="nextTo"/>
        <c:crossAx val="69874816"/>
        <c:crosses val="autoZero"/>
        <c:auto val="1"/>
        <c:lblAlgn val="ctr"/>
        <c:lblOffset val="100"/>
      </c:catAx>
      <c:valAx>
        <c:axId val="69874816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9864832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'7-б класс'!$AE$25</c:f>
              <c:numCache>
                <c:formatCode>General</c:formatCode>
                <c:ptCount val="1"/>
                <c:pt idx="0">
                  <c:v>3.8421052631578947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'7-б класс'!$AF$25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'7-б класс'!$AG$25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'7-б класс'!$AH$25</c:f>
              <c:numCache>
                <c:formatCode>General</c:formatCode>
                <c:ptCount val="1"/>
                <c:pt idx="0">
                  <c:v>3.4736842105263159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'7-б класс'!$AI$25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'7-б класс'!$AJ$25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'7-б класс'!$AK$25</c:f>
              <c:numCache>
                <c:formatCode>General</c:formatCode>
                <c:ptCount val="1"/>
                <c:pt idx="0">
                  <c:v>4.7368421052631575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'7-б класс'!$AL$25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'7-б класс'!$AM$25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'7-б класс'!$AN$25</c:f>
              <c:numCache>
                <c:formatCode>General</c:formatCode>
                <c:ptCount val="1"/>
                <c:pt idx="0">
                  <c:v>2.6470588235294117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'7-б класс'!$AO$25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'7-б класс'!$AP$25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'7-б класс'!$AQ$25</c:f>
              <c:numCache>
                <c:formatCode>General</c:formatCode>
                <c:ptCount val="1"/>
                <c:pt idx="0">
                  <c:v>4.5789473684210522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'7-б класс'!$AR$25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'7-б класс'!$AS$25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'7-б класс'!$AT$25</c:f>
              <c:numCache>
                <c:formatCode>General</c:formatCode>
                <c:ptCount val="1"/>
                <c:pt idx="0">
                  <c:v>4.6842105263157894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'7-б класс'!$AU$25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'7-б класс'!$AV$25</c:f>
              <c:numCache>
                <c:formatCode>General</c:formatCode>
                <c:ptCount val="1"/>
                <c:pt idx="0">
                  <c:v>3.9938080495356032</c:v>
                </c:pt>
              </c:numCache>
            </c:numRef>
          </c:val>
        </c:ser>
        <c:dLbls>
          <c:showVal val="1"/>
        </c:dLbls>
        <c:gapWidth val="75"/>
        <c:shape val="cylinder"/>
        <c:axId val="70104192"/>
        <c:axId val="70105728"/>
        <c:axId val="0"/>
      </c:bar3DChart>
      <c:catAx>
        <c:axId val="70104192"/>
        <c:scaling>
          <c:orientation val="minMax"/>
        </c:scaling>
        <c:delete val="1"/>
        <c:axPos val="b"/>
        <c:majorTickMark val="none"/>
        <c:tickLblPos val="nextTo"/>
        <c:crossAx val="70105728"/>
        <c:crosses val="autoZero"/>
        <c:auto val="1"/>
        <c:lblAlgn val="ctr"/>
        <c:lblOffset val="100"/>
      </c:catAx>
      <c:valAx>
        <c:axId val="7010572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0104192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'7-б класс'!$BB$25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'7-б класс'!$BC$25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'7-б класс'!$BD$25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'7-б класс'!$BE$25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'7-б класс'!$BF$25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'7-б класс'!$BG$25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'7-б класс'!$BH$25</c:f>
              <c:numCache>
                <c:formatCode>General</c:formatCode>
                <c:ptCount val="1"/>
                <c:pt idx="0">
                  <c:v>4.4000000000000004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'7-б класс'!$BI$25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'7-б класс'!$BJ$25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'7-б класс'!$BK$25</c:f>
              <c:numCache>
                <c:formatCode>General</c:formatCode>
                <c:ptCount val="1"/>
                <c:pt idx="0">
                  <c:v>4.75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'7-б класс'!$BL$25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'7-б класс'!$BM$25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'7-б класс'!$BN$25</c:f>
              <c:numCache>
                <c:formatCode>General</c:formatCode>
                <c:ptCount val="1"/>
                <c:pt idx="0">
                  <c:v>4.4000000000000004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'7-б класс'!$BO$25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'7-б класс'!$BP$25</c:f>
              <c:numCache>
                <c:formatCode>General</c:formatCode>
                <c:ptCount val="1"/>
                <c:pt idx="0">
                  <c:v>4.1099999999999994</c:v>
                </c:pt>
              </c:numCache>
            </c:numRef>
          </c:val>
        </c:ser>
        <c:dLbls>
          <c:showVal val="1"/>
        </c:dLbls>
        <c:gapWidth val="75"/>
        <c:shape val="cylinder"/>
        <c:axId val="70163456"/>
        <c:axId val="70169344"/>
        <c:axId val="0"/>
      </c:bar3DChart>
      <c:catAx>
        <c:axId val="70163456"/>
        <c:scaling>
          <c:orientation val="minMax"/>
        </c:scaling>
        <c:delete val="1"/>
        <c:axPos val="b"/>
        <c:majorTickMark val="none"/>
        <c:tickLblPos val="nextTo"/>
        <c:crossAx val="70169344"/>
        <c:crosses val="autoZero"/>
        <c:auto val="1"/>
        <c:lblAlgn val="ctr"/>
        <c:lblOffset val="100"/>
      </c:catAx>
      <c:valAx>
        <c:axId val="70169344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0163456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'8 кл.'!$BU$18</c:f>
              <c:numCache>
                <c:formatCode>General</c:formatCode>
                <c:ptCount val="1"/>
                <c:pt idx="0">
                  <c:v>4.9230769230769234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'8 кл.'!$BV$18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'8 кл.'!$BW$18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'8 кл.'!$BX$18</c:f>
              <c:numCache>
                <c:formatCode>General</c:formatCode>
                <c:ptCount val="1"/>
                <c:pt idx="0">
                  <c:v>3.5384615384615383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'8 кл.'!$BY$18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'8 кл.'!$BZ$18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'8 кл.'!$CA$18</c:f>
              <c:numCache>
                <c:formatCode>General</c:formatCode>
                <c:ptCount val="1"/>
                <c:pt idx="0">
                  <c:v>3.8333333333333335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'8 кл.'!$CB$18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'8 кл.'!$CC$18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'8 кл.'!$CD$18</c:f>
              <c:numCache>
                <c:formatCode>General</c:formatCode>
                <c:ptCount val="1"/>
                <c:pt idx="0">
                  <c:v>4.0769230769230766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'8 кл.'!$CE$18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dLbl>
              <c:idx val="0"/>
              <c:layout>
                <c:manualLayout>
                  <c:x val="2.873563218390808E-3"/>
                  <c:y val="-0.14814814814814836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'8 кл.'!$CF$18</c:f>
              <c:numCache>
                <c:formatCode>General</c:formatCode>
                <c:ptCount val="1"/>
                <c:pt idx="0">
                  <c:v>4.0929487179487181</c:v>
                </c:pt>
              </c:numCache>
            </c:numRef>
          </c:val>
        </c:ser>
        <c:ser>
          <c:idx val="12"/>
          <c:order val="12"/>
          <c:dLbls>
            <c:dLbl>
              <c:idx val="0"/>
              <c:layout>
                <c:manualLayout>
                  <c:x val="4.5977011494252866E-2"/>
                  <c:y val="-1.4814814814814781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'8 кл.'!$CG$18</c:f>
              <c:numCache>
                <c:formatCode>General</c:formatCode>
                <c:ptCount val="1"/>
                <c:pt idx="0">
                  <c:v>3.8932488344988352</c:v>
                </c:pt>
              </c:numCache>
            </c:numRef>
          </c:val>
        </c:ser>
        <c:dLbls>
          <c:showVal val="1"/>
        </c:dLbls>
        <c:gapWidth val="75"/>
        <c:shape val="cylinder"/>
        <c:axId val="70448256"/>
        <c:axId val="70449792"/>
        <c:axId val="0"/>
      </c:bar3DChart>
      <c:catAx>
        <c:axId val="70448256"/>
        <c:scaling>
          <c:orientation val="minMax"/>
        </c:scaling>
        <c:delete val="1"/>
        <c:axPos val="b"/>
        <c:tickLblPos val="nextTo"/>
        <c:crossAx val="70449792"/>
        <c:crosses val="autoZero"/>
        <c:auto val="1"/>
        <c:lblAlgn val="ctr"/>
        <c:lblOffset val="100"/>
      </c:catAx>
      <c:valAx>
        <c:axId val="70449792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044825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 физического развития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31%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9.6154553261487558E-2"/>
                  <c:y val="2.2543803646165865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69%</a:t>
                    </a:r>
                  </a:p>
                </c:rich>
              </c:tx>
              <c:showCatName val="1"/>
              <c:showPercent val="1"/>
            </c:dLbl>
            <c:dLbl>
              <c:idx val="4"/>
              <c:layout>
                <c:manualLayout>
                  <c:x val="-0.21351887465679703"/>
                  <c:y val="0.10425594098035051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0%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'8 кл.'!$D$23:$D$27</c:f>
              <c:numCache>
                <c:formatCode>General</c:formatCode>
                <c:ptCount val="5"/>
                <c:pt idx="0">
                  <c:v>30.76923076923077</c:v>
                </c:pt>
                <c:pt idx="1">
                  <c:v>69.230769230769226</c:v>
                </c:pt>
                <c:pt idx="4">
                  <c:v>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'8 кл.'!$O$18</c:f>
              <c:numCache>
                <c:formatCode>General</c:formatCode>
                <c:ptCount val="1"/>
                <c:pt idx="0">
                  <c:v>3.9230769230769229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'8 кл.'!$P$18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'8 кл.'!$Q$18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'8 кл.'!$R$18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'8 кл.'!$S$18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'8 кл.'!$T$18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'8 кл.'!$U$18</c:f>
              <c:numCache>
                <c:formatCode>General</c:formatCode>
                <c:ptCount val="1"/>
                <c:pt idx="0">
                  <c:v>4.384615384615385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'8 кл.'!$V$18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'8 кл.'!$W$18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'8 кл.'!$X$18</c:f>
              <c:numCache>
                <c:formatCode>General</c:formatCode>
                <c:ptCount val="1"/>
                <c:pt idx="0">
                  <c:v>4.6923076923076925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'8 кл.'!$Y$18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'8 кл.'!$Z$18</c:f>
              <c:numCache>
                <c:formatCode>General</c:formatCode>
                <c:ptCount val="1"/>
                <c:pt idx="0">
                  <c:v>4.5</c:v>
                </c:pt>
              </c:numCache>
            </c:numRef>
          </c:val>
        </c:ser>
        <c:dLbls>
          <c:showVal val="1"/>
        </c:dLbls>
        <c:gapWidth val="75"/>
        <c:shape val="cylinder"/>
        <c:axId val="70771072"/>
        <c:axId val="70772608"/>
        <c:axId val="0"/>
      </c:bar3DChart>
      <c:catAx>
        <c:axId val="70771072"/>
        <c:scaling>
          <c:orientation val="minMax"/>
        </c:scaling>
        <c:delete val="1"/>
        <c:axPos val="b"/>
        <c:majorTickMark val="none"/>
        <c:tickLblPos val="nextTo"/>
        <c:crossAx val="70772608"/>
        <c:crosses val="autoZero"/>
        <c:auto val="1"/>
        <c:lblAlgn val="ctr"/>
        <c:lblOffset val="100"/>
      </c:catAx>
      <c:valAx>
        <c:axId val="7077260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0771072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'8 кл.'!$AE$18</c:f>
              <c:numCache>
                <c:formatCode>General</c:formatCode>
                <c:ptCount val="1"/>
                <c:pt idx="0">
                  <c:v>3.7692307692307692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'8 кл.'!$AF$18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'8 кл.'!$AG$18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'8 кл.'!$AH$18</c:f>
              <c:numCache>
                <c:formatCode>General</c:formatCode>
                <c:ptCount val="1"/>
                <c:pt idx="0">
                  <c:v>3.1538461538461537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'8 кл.'!$AI$18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'8 кл.'!$AJ$18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'8 кл.'!$AK$18</c:f>
              <c:numCache>
                <c:formatCode>General</c:formatCode>
                <c:ptCount val="1"/>
                <c:pt idx="0">
                  <c:v>3.8461538461538463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'8 кл.'!$AL$18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'8 кл.'!$AM$18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'8 кл.'!$AN$18</c:f>
              <c:numCache>
                <c:formatCode>General</c:formatCode>
                <c:ptCount val="1"/>
                <c:pt idx="0">
                  <c:v>2.4615384615384617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'8 кл.'!$AO$18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'8 кл.'!$AP$18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'8 кл.'!$AQ$18</c:f>
              <c:numCache>
                <c:formatCode>General</c:formatCode>
                <c:ptCount val="1"/>
                <c:pt idx="0">
                  <c:v>4.3076923076923075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'8 кл.'!$AR$18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'8 кл.'!$AS$18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'8 кл.'!$AT$18</c:f>
              <c:numCache>
                <c:formatCode>General</c:formatCode>
                <c:ptCount val="1"/>
                <c:pt idx="0">
                  <c:v>4.6363636363636367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'8 кл.'!$AU$18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'8 кл.'!$AV$18</c:f>
              <c:numCache>
                <c:formatCode>General</c:formatCode>
                <c:ptCount val="1"/>
                <c:pt idx="0">
                  <c:v>3.6958041958041963</c:v>
                </c:pt>
              </c:numCache>
            </c:numRef>
          </c:val>
        </c:ser>
        <c:dLbls>
          <c:showVal val="1"/>
        </c:dLbls>
        <c:gapWidth val="75"/>
        <c:shape val="cylinder"/>
        <c:axId val="70911872"/>
        <c:axId val="70913408"/>
        <c:axId val="0"/>
      </c:bar3DChart>
      <c:catAx>
        <c:axId val="70911872"/>
        <c:scaling>
          <c:orientation val="minMax"/>
        </c:scaling>
        <c:delete val="1"/>
        <c:axPos val="b"/>
        <c:majorTickMark val="none"/>
        <c:tickLblPos val="nextTo"/>
        <c:crossAx val="70913408"/>
        <c:crosses val="autoZero"/>
        <c:auto val="1"/>
        <c:lblAlgn val="ctr"/>
        <c:lblOffset val="100"/>
      </c:catAx>
      <c:valAx>
        <c:axId val="7091340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0911872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'5-а класс'!$O$15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'5-а класс'!$P$15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'5-а класс'!$Q$15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'5-а класс'!$R$15</c:f>
              <c:numCache>
                <c:formatCode>General</c:formatCode>
                <c:ptCount val="1"/>
                <c:pt idx="0">
                  <c:v>4.8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'5-а класс'!$S$15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'5-а класс'!$T$15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'5-а класс'!$U$15</c:f>
              <c:numCache>
                <c:formatCode>General</c:formatCode>
                <c:ptCount val="1"/>
                <c:pt idx="0">
                  <c:v>4.2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'5-а класс'!$V$15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'5-а класс'!$W$15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'5-а класс'!$X$15</c:f>
              <c:numCache>
                <c:formatCode>General</c:formatCode>
                <c:ptCount val="1"/>
                <c:pt idx="0">
                  <c:v>4.7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'5-а класс'!$Y$15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'5-а класс'!$Z$15</c:f>
              <c:numCache>
                <c:formatCode>General</c:formatCode>
                <c:ptCount val="1"/>
                <c:pt idx="0">
                  <c:v>4.4249999999999998</c:v>
                </c:pt>
              </c:numCache>
            </c:numRef>
          </c:val>
        </c:ser>
        <c:dLbls>
          <c:showVal val="1"/>
        </c:dLbls>
        <c:gapWidth val="75"/>
        <c:shape val="cylinder"/>
        <c:axId val="66277760"/>
        <c:axId val="66279296"/>
        <c:axId val="0"/>
      </c:bar3DChart>
      <c:catAx>
        <c:axId val="66277760"/>
        <c:scaling>
          <c:orientation val="minMax"/>
        </c:scaling>
        <c:delete val="1"/>
        <c:axPos val="b"/>
        <c:majorTickMark val="none"/>
        <c:tickLblPos val="nextTo"/>
        <c:crossAx val="66279296"/>
        <c:crosses val="autoZero"/>
        <c:auto val="1"/>
        <c:lblAlgn val="ctr"/>
        <c:lblOffset val="100"/>
      </c:catAx>
      <c:valAx>
        <c:axId val="66279296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6277760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'8 кл.'!$BB$18</c:f>
              <c:numCache>
                <c:formatCode>General</c:formatCode>
                <c:ptCount val="1"/>
                <c:pt idx="0">
                  <c:v>2.3333333333333335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'8 кл.'!$BC$18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'8 кл.'!$BD$18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'8 кл.'!$BE$18</c:f>
              <c:numCache>
                <c:formatCode>General</c:formatCode>
                <c:ptCount val="1"/>
                <c:pt idx="0">
                  <c:v>2.3333333333333335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'8 кл.'!$BF$18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'8 кл.'!$BG$18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'8 кл.'!$BH$18</c:f>
              <c:numCache>
                <c:formatCode>General</c:formatCode>
                <c:ptCount val="1"/>
                <c:pt idx="0">
                  <c:v>3.7272727272727271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'8 кл.'!$BI$18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'8 кл.'!$BJ$18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'8 кл.'!$BK$18</c:f>
              <c:numCache>
                <c:formatCode>General</c:formatCode>
                <c:ptCount val="1"/>
                <c:pt idx="0">
                  <c:v>4.7272727272727275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'8 кл.'!$BL$18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'8 кл.'!$BM$18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'8 кл.'!$BN$18</c:f>
              <c:numCache>
                <c:formatCode>General</c:formatCode>
                <c:ptCount val="1"/>
                <c:pt idx="0">
                  <c:v>3.3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'8 кл.'!$BO$18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'8 кл.'!$BP$18</c:f>
              <c:numCache>
                <c:formatCode>General</c:formatCode>
                <c:ptCount val="1"/>
                <c:pt idx="0">
                  <c:v>3.2842424242424242</c:v>
                </c:pt>
              </c:numCache>
            </c:numRef>
          </c:val>
        </c:ser>
        <c:dLbls>
          <c:showVal val="1"/>
        </c:dLbls>
        <c:gapWidth val="75"/>
        <c:shape val="cylinder"/>
        <c:axId val="71004160"/>
        <c:axId val="71005696"/>
        <c:axId val="0"/>
      </c:bar3DChart>
      <c:catAx>
        <c:axId val="71004160"/>
        <c:scaling>
          <c:orientation val="minMax"/>
        </c:scaling>
        <c:delete val="1"/>
        <c:axPos val="b"/>
        <c:majorTickMark val="none"/>
        <c:tickLblPos val="nextTo"/>
        <c:crossAx val="71005696"/>
        <c:crosses val="autoZero"/>
        <c:auto val="1"/>
        <c:lblAlgn val="ctr"/>
        <c:lblOffset val="100"/>
      </c:catAx>
      <c:valAx>
        <c:axId val="71005696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1004160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Lbls>
            <c:dLbl>
              <c:idx val="0"/>
              <c:layout>
                <c:manualLayout>
                  <c:x val="3.1884057971014547E-2"/>
                  <c:y val="-9.6834264432029901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'9-а кл.'!$BU$27</c:f>
              <c:numCache>
                <c:formatCode>General</c:formatCode>
                <c:ptCount val="1"/>
                <c:pt idx="0">
                  <c:v>4.3636363636363633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'9-а кл.'!$BV$27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'9-а кл.'!$BW$27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dLbl>
              <c:idx val="0"/>
              <c:layout>
                <c:manualLayout>
                  <c:x val="5.7971014492753624E-3"/>
                  <c:y val="-6.703910614525140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'9-а кл.'!$BX$27</c:f>
              <c:numCache>
                <c:formatCode>General</c:formatCode>
                <c:ptCount val="1"/>
                <c:pt idx="0">
                  <c:v>3.8947368421052633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'9-а кл.'!$BY$27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'9-а кл.'!$BZ$27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'9-а кл.'!$CA$27</c:f>
              <c:numCache>
                <c:formatCode>General</c:formatCode>
                <c:ptCount val="1"/>
                <c:pt idx="0">
                  <c:v>3.8571428571428572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'9-а кл.'!$CB$27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'9-а кл.'!$CC$27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'9-а кл.'!$CD$27</c:f>
              <c:numCache>
                <c:formatCode>General</c:formatCode>
                <c:ptCount val="1"/>
                <c:pt idx="0">
                  <c:v>4.4761904761904763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'9-а кл.'!$CE$27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dLbl>
              <c:idx val="0"/>
              <c:layout>
                <c:manualLayout>
                  <c:x val="2.8985507246376812E-3"/>
                  <c:y val="-0.1787709497206704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'9-а кл.'!$CF$27</c:f>
              <c:numCache>
                <c:formatCode>General</c:formatCode>
                <c:ptCount val="1"/>
                <c:pt idx="0">
                  <c:v>4.1479266347687407</c:v>
                </c:pt>
              </c:numCache>
            </c:numRef>
          </c:val>
        </c:ser>
        <c:ser>
          <c:idx val="12"/>
          <c:order val="12"/>
          <c:dLbls>
            <c:dLbl>
              <c:idx val="0"/>
              <c:layout>
                <c:manualLayout>
                  <c:x val="3.478260869565207E-2"/>
                  <c:y val="-7.4487895716946126E-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'9-а кл.'!$CG$27</c:f>
              <c:numCache>
                <c:formatCode>General</c:formatCode>
                <c:ptCount val="1"/>
                <c:pt idx="0">
                  <c:v>4.1524000230076084</c:v>
                </c:pt>
              </c:numCache>
            </c:numRef>
          </c:val>
        </c:ser>
        <c:dLbls>
          <c:showVal val="1"/>
        </c:dLbls>
        <c:gapWidth val="75"/>
        <c:shape val="cylinder"/>
        <c:axId val="71133824"/>
        <c:axId val="71143808"/>
        <c:axId val="0"/>
      </c:bar3DChart>
      <c:catAx>
        <c:axId val="71133824"/>
        <c:scaling>
          <c:orientation val="minMax"/>
        </c:scaling>
        <c:delete val="1"/>
        <c:axPos val="b"/>
        <c:tickLblPos val="nextTo"/>
        <c:crossAx val="71143808"/>
        <c:crosses val="autoZero"/>
        <c:auto val="1"/>
        <c:lblAlgn val="ctr"/>
        <c:lblOffset val="100"/>
      </c:catAx>
      <c:valAx>
        <c:axId val="7114380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113382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 физического развития</a:t>
            </a:r>
          </a:p>
        </c:rich>
      </c:tx>
      <c:layout>
        <c:manualLayout>
          <c:xMode val="edge"/>
          <c:yMode val="edge"/>
          <c:x val="0.21421101347838775"/>
          <c:y val="4.3478260869565223E-2"/>
        </c:manualLayout>
      </c:layout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0.33574765110882882"/>
                  <c:y val="7.6653543307086611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0%</a:t>
                    </a:r>
                  </a:p>
                </c:rich>
              </c:tx>
              <c:showCatName val="1"/>
              <c:showPercent val="1"/>
            </c:dLbl>
            <c:dLbl>
              <c:idx val="1"/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86%</a:t>
                    </a:r>
                  </a:p>
                </c:rich>
              </c:tx>
              <c:showCatName val="1"/>
              <c:showPercent val="1"/>
            </c:dLbl>
            <c:dLbl>
              <c:idx val="4"/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14%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'9-а кл.'!$D$32:$D$36</c:f>
              <c:numCache>
                <c:formatCode>General</c:formatCode>
                <c:ptCount val="5"/>
                <c:pt idx="0">
                  <c:v>0</c:v>
                </c:pt>
                <c:pt idx="1">
                  <c:v>86.36363636363636</c:v>
                </c:pt>
                <c:pt idx="4">
                  <c:v>13.636363636363637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'9-а кл.'!$O$27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'9-а кл.'!$P$27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'9-а кл.'!$Q$27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'9-а кл.'!$R$27</c:f>
              <c:numCache>
                <c:formatCode>General</c:formatCode>
                <c:ptCount val="1"/>
                <c:pt idx="0">
                  <c:v>4.6190476190476186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'9-а кл.'!$S$27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'9-а кл.'!$T$27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'9-а кл.'!$U$27</c:f>
              <c:numCache>
                <c:formatCode>General</c:formatCode>
                <c:ptCount val="1"/>
                <c:pt idx="0">
                  <c:v>4.5294117647058822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'9-а кл.'!$V$27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'9-а кл.'!$W$27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'9-а кл.'!$X$27</c:f>
              <c:numCache>
                <c:formatCode>General</c:formatCode>
                <c:ptCount val="1"/>
                <c:pt idx="0">
                  <c:v>4.833333333333333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'9-а кл.'!$Y$27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'9-а кл.'!$Z$27</c:f>
              <c:numCache>
                <c:formatCode>General</c:formatCode>
                <c:ptCount val="1"/>
                <c:pt idx="0">
                  <c:v>4.4954481792717083</c:v>
                </c:pt>
              </c:numCache>
            </c:numRef>
          </c:val>
        </c:ser>
        <c:dLbls>
          <c:showVal val="1"/>
        </c:dLbls>
        <c:gapWidth val="75"/>
        <c:shape val="cylinder"/>
        <c:axId val="71522176"/>
        <c:axId val="71523712"/>
        <c:axId val="0"/>
      </c:bar3DChart>
      <c:catAx>
        <c:axId val="71522176"/>
        <c:scaling>
          <c:orientation val="minMax"/>
        </c:scaling>
        <c:delete val="1"/>
        <c:axPos val="b"/>
        <c:majorTickMark val="none"/>
        <c:tickLblPos val="nextTo"/>
        <c:crossAx val="71523712"/>
        <c:crosses val="autoZero"/>
        <c:auto val="1"/>
        <c:lblAlgn val="ctr"/>
        <c:lblOffset val="100"/>
      </c:catAx>
      <c:valAx>
        <c:axId val="71523712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1522176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'9-а кл.'!$AE$27</c:f>
              <c:numCache>
                <c:formatCode>General</c:formatCode>
                <c:ptCount val="1"/>
                <c:pt idx="0">
                  <c:v>4.4285714285714288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'9-а кл.'!$AF$27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'9-а кл.'!$AG$27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'9-а кл.'!$AH$27</c:f>
              <c:numCache>
                <c:formatCode>General</c:formatCode>
                <c:ptCount val="1"/>
                <c:pt idx="0">
                  <c:v>3.9047619047619047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'9-а кл.'!$AI$27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'9-а кл.'!$AJ$27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'9-а кл.'!$AK$27</c:f>
              <c:numCache>
                <c:formatCode>General</c:formatCode>
                <c:ptCount val="1"/>
                <c:pt idx="0">
                  <c:v>4.1818181818181817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'9-а кл.'!$AL$27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'9-а кл.'!$AM$27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'9-а кл.'!$AN$27</c:f>
              <c:numCache>
                <c:formatCode>General</c:formatCode>
                <c:ptCount val="1"/>
                <c:pt idx="0">
                  <c:v>3.5294117647058822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'9-а кл.'!$AO$27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'9-а кл.'!$AP$27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'9-а кл.'!$AQ$27</c:f>
              <c:numCache>
                <c:formatCode>General</c:formatCode>
                <c:ptCount val="1"/>
                <c:pt idx="0">
                  <c:v>4.0999999999999996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'9-а кл.'!$AR$27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'9-а кл.'!$AS$27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'9-а кл.'!$AT$27</c:f>
              <c:numCache>
                <c:formatCode>General</c:formatCode>
                <c:ptCount val="1"/>
                <c:pt idx="0">
                  <c:v>4.2142857142857144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'9-а кл.'!$AU$27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'9-а кл.'!$AV$27</c:f>
              <c:numCache>
                <c:formatCode>General</c:formatCode>
                <c:ptCount val="1"/>
                <c:pt idx="0">
                  <c:v>4.0598081656905194</c:v>
                </c:pt>
              </c:numCache>
            </c:numRef>
          </c:val>
        </c:ser>
        <c:dLbls>
          <c:showVal val="1"/>
        </c:dLbls>
        <c:gapWidth val="75"/>
        <c:shape val="cylinder"/>
        <c:axId val="71728512"/>
        <c:axId val="71746688"/>
        <c:axId val="0"/>
      </c:bar3DChart>
      <c:catAx>
        <c:axId val="71728512"/>
        <c:scaling>
          <c:orientation val="minMax"/>
        </c:scaling>
        <c:delete val="1"/>
        <c:axPos val="b"/>
        <c:majorTickMark val="none"/>
        <c:tickLblPos val="nextTo"/>
        <c:crossAx val="71746688"/>
        <c:crosses val="autoZero"/>
        <c:auto val="1"/>
        <c:lblAlgn val="ctr"/>
        <c:lblOffset val="100"/>
      </c:catAx>
      <c:valAx>
        <c:axId val="7174668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1728512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'9-а кл.'!$BB$27</c:f>
              <c:numCache>
                <c:formatCode>General</c:formatCode>
                <c:ptCount val="1"/>
                <c:pt idx="0">
                  <c:v>3.1764705882352939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'9-а кл.'!$BC$27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'9-а кл.'!$BD$27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'9-а кл.'!$BE$27</c:f>
              <c:numCache>
                <c:formatCode>General</c:formatCode>
                <c:ptCount val="1"/>
                <c:pt idx="0">
                  <c:v>3.1764705882352939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'9-а кл.'!$BF$27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'9-а кл.'!$BG$27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'9-а кл.'!$BH$27</c:f>
              <c:numCache>
                <c:formatCode>General</c:formatCode>
                <c:ptCount val="1"/>
                <c:pt idx="0">
                  <c:v>4.1363636363636367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'9-а кл.'!$BI$27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'9-а кл.'!$BJ$27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'9-а кл.'!$BK$27</c:f>
              <c:numCache>
                <c:formatCode>General</c:formatCode>
                <c:ptCount val="1"/>
                <c:pt idx="0">
                  <c:v>4.4545454545454541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'9-а кл.'!$BL$27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'9-а кл.'!$BM$27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'9-а кл.'!$BN$27</c:f>
              <c:numCache>
                <c:formatCode>General</c:formatCode>
                <c:ptCount val="1"/>
                <c:pt idx="0">
                  <c:v>4.5882352941176467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'9-а кл.'!$BO$27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'9-а кл.'!$BP$27</c:f>
              <c:numCache>
                <c:formatCode>General</c:formatCode>
                <c:ptCount val="1"/>
                <c:pt idx="0">
                  <c:v>3.9064171122994651</c:v>
                </c:pt>
              </c:numCache>
            </c:numRef>
          </c:val>
        </c:ser>
        <c:dLbls>
          <c:showVal val="1"/>
        </c:dLbls>
        <c:gapWidth val="75"/>
        <c:shape val="cylinder"/>
        <c:axId val="71886336"/>
        <c:axId val="71887872"/>
        <c:axId val="0"/>
      </c:bar3DChart>
      <c:catAx>
        <c:axId val="71886336"/>
        <c:scaling>
          <c:orientation val="minMax"/>
        </c:scaling>
        <c:delete val="1"/>
        <c:axPos val="b"/>
        <c:majorTickMark val="none"/>
        <c:tickLblPos val="nextTo"/>
        <c:crossAx val="71887872"/>
        <c:crosses val="autoZero"/>
        <c:auto val="1"/>
        <c:lblAlgn val="ctr"/>
        <c:lblOffset val="100"/>
      </c:catAx>
      <c:valAx>
        <c:axId val="71887872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1886336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'9-б кл.'!$BU$15</c:f>
              <c:numCache>
                <c:formatCode>General</c:formatCode>
                <c:ptCount val="1"/>
                <c:pt idx="0">
                  <c:v>4.0999999999999996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'9-б кл.'!$BV$15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'9-б кл.'!$BW$15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'9-б кл.'!$BX$15</c:f>
              <c:numCache>
                <c:formatCode>General</c:formatCode>
                <c:ptCount val="1"/>
                <c:pt idx="0">
                  <c:v>3.3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'9-б кл.'!$BY$15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'9-б кл.'!$BZ$15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'9-б кл.'!$CA$15</c:f>
              <c:numCache>
                <c:formatCode>General</c:formatCode>
                <c:ptCount val="1"/>
                <c:pt idx="0">
                  <c:v>4.2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'9-б кл.'!$CB$15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'9-б кл.'!$CC$15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'9-б кл.'!$CD$15</c:f>
              <c:numCache>
                <c:formatCode>General</c:formatCode>
                <c:ptCount val="1"/>
                <c:pt idx="0">
                  <c:v>4.7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'9-б кл.'!$CE$15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'9-б кл.'!$CF$15</c:f>
              <c:numCache>
                <c:formatCode>General</c:formatCode>
                <c:ptCount val="1"/>
                <c:pt idx="0">
                  <c:v>4.0750000000000002</c:v>
                </c:pt>
              </c:numCache>
            </c:numRef>
          </c:val>
        </c:ser>
        <c:ser>
          <c:idx val="12"/>
          <c:order val="12"/>
          <c:dLbls>
            <c:dLbl>
              <c:idx val="0"/>
              <c:layout>
                <c:manualLayout>
                  <c:x val="3.4782608695652278E-2"/>
                  <c:y val="-6.521739130434782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'9-б кл.'!$CG$15</c:f>
              <c:numCache>
                <c:formatCode>General</c:formatCode>
                <c:ptCount val="1"/>
                <c:pt idx="0">
                  <c:v>4.1733333333333329</c:v>
                </c:pt>
              </c:numCache>
            </c:numRef>
          </c:val>
        </c:ser>
        <c:dLbls>
          <c:showVal val="1"/>
        </c:dLbls>
        <c:gapWidth val="75"/>
        <c:shape val="cylinder"/>
        <c:axId val="71982080"/>
        <c:axId val="72000256"/>
        <c:axId val="0"/>
      </c:bar3DChart>
      <c:catAx>
        <c:axId val="71982080"/>
        <c:scaling>
          <c:orientation val="minMax"/>
        </c:scaling>
        <c:delete val="1"/>
        <c:axPos val="b"/>
        <c:tickLblPos val="nextTo"/>
        <c:crossAx val="72000256"/>
        <c:crosses val="autoZero"/>
        <c:auto val="1"/>
        <c:lblAlgn val="ctr"/>
        <c:lblOffset val="100"/>
      </c:catAx>
      <c:valAx>
        <c:axId val="72000256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198208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 физического развития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10%</a:t>
                    </a:r>
                  </a:p>
                </c:rich>
              </c:tx>
              <c:showCatName val="1"/>
              <c:showPercent val="1"/>
            </c:dLbl>
            <c:dLbl>
              <c:idx val="1"/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60%</a:t>
                    </a:r>
                  </a:p>
                </c:rich>
              </c:tx>
              <c:showCatName val="1"/>
              <c:showPercent val="1"/>
            </c:dLbl>
            <c:dLbl>
              <c:idx val="4"/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30%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'9-б кл.'!$D$20:$D$24</c:f>
              <c:numCache>
                <c:formatCode>General</c:formatCode>
                <c:ptCount val="5"/>
                <c:pt idx="0">
                  <c:v>10</c:v>
                </c:pt>
                <c:pt idx="1">
                  <c:v>60</c:v>
                </c:pt>
                <c:pt idx="4">
                  <c:v>30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'9-б кл.'!$O$15</c:f>
              <c:numCache>
                <c:formatCode>General</c:formatCode>
                <c:ptCount val="1"/>
                <c:pt idx="0">
                  <c:v>3.8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'9-б кл.'!$P$15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'9-б кл.'!$Q$15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'9-б кл.'!$R$15</c:f>
              <c:numCache>
                <c:formatCode>General</c:formatCode>
                <c:ptCount val="1"/>
                <c:pt idx="0">
                  <c:v>4.9000000000000004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'9-б кл.'!$S$15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'9-б кл.'!$T$15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'9-б кл.'!$U$15</c:f>
              <c:numCache>
                <c:formatCode>General</c:formatCode>
                <c:ptCount val="1"/>
                <c:pt idx="0">
                  <c:v>3.9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'9-б кл.'!$V$15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'9-б кл.'!$W$15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'9-б кл.'!$X$15</c:f>
              <c:numCache>
                <c:formatCode>General</c:formatCode>
                <c:ptCount val="1"/>
                <c:pt idx="0">
                  <c:v>4.9000000000000004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'9-б кл.'!$Y$15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'9-б кл.'!$Z$15</c:f>
              <c:numCache>
                <c:formatCode>General</c:formatCode>
                <c:ptCount val="1"/>
                <c:pt idx="0">
                  <c:v>4.375</c:v>
                </c:pt>
              </c:numCache>
            </c:numRef>
          </c:val>
        </c:ser>
        <c:dLbls>
          <c:showVal val="1"/>
        </c:dLbls>
        <c:gapWidth val="75"/>
        <c:shape val="cylinder"/>
        <c:axId val="72448256"/>
        <c:axId val="72470528"/>
        <c:axId val="0"/>
      </c:bar3DChart>
      <c:catAx>
        <c:axId val="72448256"/>
        <c:scaling>
          <c:orientation val="minMax"/>
        </c:scaling>
        <c:delete val="1"/>
        <c:axPos val="b"/>
        <c:majorTickMark val="none"/>
        <c:tickLblPos val="nextTo"/>
        <c:crossAx val="72470528"/>
        <c:crosses val="autoZero"/>
        <c:auto val="1"/>
        <c:lblAlgn val="ctr"/>
        <c:lblOffset val="100"/>
      </c:catAx>
      <c:valAx>
        <c:axId val="7247052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2448256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'9-б кл.'!$AE$15</c:f>
              <c:numCache>
                <c:formatCode>General</c:formatCode>
                <c:ptCount val="1"/>
                <c:pt idx="0">
                  <c:v>4.3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'9-б кл.'!$AF$15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'9-б кл.'!$AG$15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'9-б кл.'!$AH$15</c:f>
              <c:numCache>
                <c:formatCode>General</c:formatCode>
                <c:ptCount val="1"/>
                <c:pt idx="0">
                  <c:v>3.6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'9-б кл.'!$AI$15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'9-б кл.'!$AJ$15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'9-б кл.'!$AK$15</c:f>
              <c:numCache>
                <c:formatCode>General</c:formatCode>
                <c:ptCount val="1"/>
                <c:pt idx="0">
                  <c:v>4.5999999999999996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'9-б кл.'!$AL$15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'9-б кл.'!$AM$15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'9-б кл.'!$AN$15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'9-б кл.'!$AO$15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'9-б кл.'!$AP$15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'9-б кл.'!$AQ$15</c:f>
              <c:numCache>
                <c:formatCode>General</c:formatCode>
                <c:ptCount val="1"/>
                <c:pt idx="0">
                  <c:v>4.4444444444444446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'9-б кл.'!$AR$15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'9-б кл.'!$AS$15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'9-б кл.'!$AT$15</c:f>
              <c:numCache>
                <c:formatCode>General</c:formatCode>
                <c:ptCount val="1"/>
                <c:pt idx="0">
                  <c:v>4.5555555555555554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'9-б кл.'!$AU$15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'9-б кл.'!$AV$15</c:f>
              <c:numCache>
                <c:formatCode>General</c:formatCode>
                <c:ptCount val="1"/>
                <c:pt idx="0">
                  <c:v>4.25</c:v>
                </c:pt>
              </c:numCache>
            </c:numRef>
          </c:val>
        </c:ser>
        <c:dLbls>
          <c:showVal val="1"/>
        </c:dLbls>
        <c:gapWidth val="75"/>
        <c:shape val="cylinder"/>
        <c:axId val="72609792"/>
        <c:axId val="72611328"/>
        <c:axId val="0"/>
      </c:bar3DChart>
      <c:catAx>
        <c:axId val="72609792"/>
        <c:scaling>
          <c:orientation val="minMax"/>
        </c:scaling>
        <c:delete val="1"/>
        <c:axPos val="b"/>
        <c:majorTickMark val="none"/>
        <c:tickLblPos val="nextTo"/>
        <c:crossAx val="72611328"/>
        <c:crosses val="autoZero"/>
        <c:auto val="1"/>
        <c:lblAlgn val="ctr"/>
        <c:lblOffset val="100"/>
      </c:catAx>
      <c:valAx>
        <c:axId val="7261132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2609792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'5-а класс'!$AE$15</c:f>
              <c:numCache>
                <c:formatCode>General</c:formatCode>
                <c:ptCount val="1"/>
                <c:pt idx="0">
                  <c:v>4.7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'5-а класс'!$AF$15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'5-а класс'!$AG$15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'5-а класс'!$AH$15</c:f>
              <c:numCache>
                <c:formatCode>General</c:formatCode>
                <c:ptCount val="1"/>
                <c:pt idx="0">
                  <c:v>3.3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'5-а класс'!$AI$15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'5-а класс'!$AJ$15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'5-а класс'!$AK$15</c:f>
              <c:numCache>
                <c:formatCode>General</c:formatCode>
                <c:ptCount val="1"/>
                <c:pt idx="0">
                  <c:v>4.5999999999999996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'5-а класс'!$AL$15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'5-а класс'!$AM$15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'5-а класс'!$AN$15</c:f>
              <c:numCache>
                <c:formatCode>General</c:formatCode>
                <c:ptCount val="1"/>
                <c:pt idx="0">
                  <c:v>3.3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'5-а класс'!$AO$15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'5-а класс'!$AP$15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'5-а класс'!$AQ$15</c:f>
              <c:numCache>
                <c:formatCode>General</c:formatCode>
                <c:ptCount val="1"/>
                <c:pt idx="0">
                  <c:v>4.5999999999999996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'5-а класс'!$AR$15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'5-а класс'!$AS$15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'5-а класс'!$AT$15</c:f>
              <c:numCache>
                <c:formatCode>General</c:formatCode>
                <c:ptCount val="1"/>
                <c:pt idx="0">
                  <c:v>4.666666666666667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'5-а класс'!$AU$15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'5-а класс'!$AV$15</c:f>
              <c:numCache>
                <c:formatCode>General</c:formatCode>
                <c:ptCount val="1"/>
                <c:pt idx="0">
                  <c:v>4.1944444444444446</c:v>
                </c:pt>
              </c:numCache>
            </c:numRef>
          </c:val>
        </c:ser>
        <c:dLbls>
          <c:showVal val="1"/>
        </c:dLbls>
        <c:gapWidth val="75"/>
        <c:shape val="cylinder"/>
        <c:axId val="66443136"/>
        <c:axId val="66444672"/>
        <c:axId val="0"/>
      </c:bar3DChart>
      <c:catAx>
        <c:axId val="66443136"/>
        <c:scaling>
          <c:orientation val="minMax"/>
        </c:scaling>
        <c:delete val="1"/>
        <c:axPos val="b"/>
        <c:majorTickMark val="none"/>
        <c:tickLblPos val="nextTo"/>
        <c:crossAx val="66444672"/>
        <c:crosses val="autoZero"/>
        <c:auto val="1"/>
        <c:lblAlgn val="ctr"/>
        <c:lblOffset val="100"/>
      </c:catAx>
      <c:valAx>
        <c:axId val="66444672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6443136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'9-б кл.'!$BB$15</c:f>
              <c:numCache>
                <c:formatCode>General</c:formatCode>
                <c:ptCount val="1"/>
                <c:pt idx="0">
                  <c:v>3.3333333333333335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'9-б кл.'!$BC$15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'9-б кл.'!$BD$15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'9-б кл.'!$BE$15</c:f>
              <c:numCache>
                <c:formatCode>General</c:formatCode>
                <c:ptCount val="1"/>
                <c:pt idx="0">
                  <c:v>3.3333333333333335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'9-б кл.'!$BF$15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'9-б кл.'!$BG$15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'9-б кл.'!$BH$15</c:f>
              <c:numCache>
                <c:formatCode>General</c:formatCode>
                <c:ptCount val="1"/>
                <c:pt idx="0">
                  <c:v>4.5999999999999996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'9-б кл.'!$BI$15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'9-б кл.'!$BJ$15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'9-б кл.'!$BK$15</c:f>
              <c:numCache>
                <c:formatCode>General</c:formatCode>
                <c:ptCount val="1"/>
                <c:pt idx="0">
                  <c:v>4.8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'9-б кл.'!$BL$15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'9-б кл.'!$BM$15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'9-б кл.'!$BN$15</c:f>
              <c:numCache>
                <c:formatCode>General</c:formatCode>
                <c:ptCount val="1"/>
                <c:pt idx="0">
                  <c:v>3.9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'9-б кл.'!$BO$15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'9-б кл.'!$BP$15</c:f>
              <c:numCache>
                <c:formatCode>General</c:formatCode>
                <c:ptCount val="1"/>
                <c:pt idx="0">
                  <c:v>3.9933333333333332</c:v>
                </c:pt>
              </c:numCache>
            </c:numRef>
          </c:val>
        </c:ser>
        <c:dLbls>
          <c:showVal val="1"/>
        </c:dLbls>
        <c:gapWidth val="75"/>
        <c:shape val="cylinder"/>
        <c:axId val="72816512"/>
        <c:axId val="72818048"/>
        <c:axId val="0"/>
      </c:bar3DChart>
      <c:catAx>
        <c:axId val="72816512"/>
        <c:scaling>
          <c:orientation val="minMax"/>
        </c:scaling>
        <c:delete val="1"/>
        <c:axPos val="b"/>
        <c:majorTickMark val="none"/>
        <c:tickLblPos val="nextTo"/>
        <c:crossAx val="72818048"/>
        <c:crosses val="autoZero"/>
        <c:auto val="1"/>
        <c:lblAlgn val="ctr"/>
        <c:lblOffset val="100"/>
      </c:catAx>
      <c:valAx>
        <c:axId val="7281804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2816512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'10 кл.'!$BV$17</c:f>
              <c:numCache>
                <c:formatCode>General</c:formatCode>
                <c:ptCount val="1"/>
                <c:pt idx="0">
                  <c:v>3.5454545454545454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'10 кл.'!$BW$17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'10 кл.'!$BX$17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'10 кл.'!$BY$17</c:f>
              <c:numCache>
                <c:formatCode>General</c:formatCode>
                <c:ptCount val="1"/>
                <c:pt idx="0">
                  <c:v>3.5454545454545454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'10 кл.'!$BZ$17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'10 кл.'!$CA$17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'10 кл.'!$CB$17</c:f>
              <c:numCache>
                <c:formatCode>General</c:formatCode>
                <c:ptCount val="1"/>
                <c:pt idx="0">
                  <c:v>4.5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'10 кл.'!$CC$17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'10 кл.'!$CD$17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'10 кл.'!$CE$17</c:f>
              <c:numCache>
                <c:formatCode>General</c:formatCode>
                <c:ptCount val="1"/>
                <c:pt idx="0">
                  <c:v>3.6666666666666665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'10 кл.'!$CF$17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dLbl>
              <c:idx val="0"/>
              <c:layout>
                <c:manualLayout>
                  <c:x val="0"/>
                  <c:y val="-8.8397790055248698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'10 кл.'!$CG$17</c:f>
              <c:numCache>
                <c:formatCode>General</c:formatCode>
                <c:ptCount val="1"/>
                <c:pt idx="0">
                  <c:v>3.814393939393939</c:v>
                </c:pt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'10 кл.'!$CH$17</c:f>
              <c:numCache>
                <c:formatCode>General</c:formatCode>
                <c:ptCount val="1"/>
              </c:numCache>
            </c:numRef>
          </c:val>
        </c:ser>
        <c:ser>
          <c:idx val="13"/>
          <c:order val="13"/>
          <c:dLbls>
            <c:dLbl>
              <c:idx val="0"/>
              <c:layout>
                <c:manualLayout>
                  <c:x val="2.8880866425992802E-2"/>
                  <c:y val="-2.2099447513812213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'10 кл.'!$CI$17</c:f>
              <c:numCache>
                <c:formatCode>General</c:formatCode>
                <c:ptCount val="1"/>
                <c:pt idx="0">
                  <c:v>3.665638528138528</c:v>
                </c:pt>
              </c:numCache>
            </c:numRef>
          </c:val>
        </c:ser>
        <c:dLbls>
          <c:showVal val="1"/>
        </c:dLbls>
        <c:gapWidth val="75"/>
        <c:shape val="cylinder"/>
        <c:axId val="73147520"/>
        <c:axId val="73149056"/>
        <c:axId val="0"/>
      </c:bar3DChart>
      <c:catAx>
        <c:axId val="73147520"/>
        <c:scaling>
          <c:orientation val="minMax"/>
        </c:scaling>
        <c:delete val="1"/>
        <c:axPos val="b"/>
        <c:tickLblPos val="nextTo"/>
        <c:crossAx val="73149056"/>
        <c:crosses val="autoZero"/>
        <c:auto val="1"/>
        <c:lblAlgn val="ctr"/>
        <c:lblOffset val="100"/>
      </c:catAx>
      <c:valAx>
        <c:axId val="73149056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314752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 физического развития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17%</a:t>
                    </a:r>
                  </a:p>
                </c:rich>
              </c:tx>
              <c:showCatName val="1"/>
              <c:showPercent val="1"/>
            </c:dLbl>
            <c:dLbl>
              <c:idx val="1"/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75%</a:t>
                    </a:r>
                  </a:p>
                </c:rich>
              </c:tx>
              <c:showCatName val="1"/>
              <c:showPercent val="1"/>
            </c:dLbl>
            <c:dLbl>
              <c:idx val="4"/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8%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'10 кл.'!$D$22:$D$26</c:f>
              <c:numCache>
                <c:formatCode>General</c:formatCode>
                <c:ptCount val="5"/>
                <c:pt idx="0">
                  <c:v>16.666666666666668</c:v>
                </c:pt>
                <c:pt idx="1">
                  <c:v>75</c:v>
                </c:pt>
                <c:pt idx="4">
                  <c:v>8.3333333333333339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'10 кл.'!$O$17</c:f>
              <c:numCache>
                <c:formatCode>General</c:formatCode>
                <c:ptCount val="1"/>
                <c:pt idx="0">
                  <c:v>2.875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'10 кл.'!$P$17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'10 кл.'!$Q$17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'10 кл.'!$R$17</c:f>
              <c:numCache>
                <c:formatCode>General</c:formatCode>
                <c:ptCount val="1"/>
                <c:pt idx="0">
                  <c:v>4.75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'10 кл.'!$S$17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'10 кл.'!$T$17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'10 кл.'!$U$17</c:f>
              <c:numCache>
                <c:formatCode>General</c:formatCode>
                <c:ptCount val="1"/>
                <c:pt idx="0">
                  <c:v>3.75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'10 кл.'!$V$17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'10 кл.'!$W$17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'10 кл.'!$X$17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'10 кл.'!$Y$17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'10 кл.'!$Z$17</c:f>
              <c:numCache>
                <c:formatCode>General</c:formatCode>
                <c:ptCount val="1"/>
                <c:pt idx="0">
                  <c:v>4.09375</c:v>
                </c:pt>
              </c:numCache>
            </c:numRef>
          </c:val>
        </c:ser>
        <c:dLbls>
          <c:showVal val="1"/>
        </c:dLbls>
        <c:gapWidth val="75"/>
        <c:shape val="cylinder"/>
        <c:axId val="73417088"/>
        <c:axId val="73418624"/>
        <c:axId val="0"/>
      </c:bar3DChart>
      <c:catAx>
        <c:axId val="73417088"/>
        <c:scaling>
          <c:orientation val="minMax"/>
        </c:scaling>
        <c:delete val="1"/>
        <c:axPos val="b"/>
        <c:majorTickMark val="none"/>
        <c:tickLblPos val="nextTo"/>
        <c:crossAx val="73418624"/>
        <c:crosses val="autoZero"/>
        <c:auto val="1"/>
        <c:lblAlgn val="ctr"/>
        <c:lblOffset val="100"/>
      </c:catAx>
      <c:valAx>
        <c:axId val="73418624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3417088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'10 кл.'!$AE$17</c:f>
              <c:numCache>
                <c:formatCode>General</c:formatCode>
                <c:ptCount val="1"/>
                <c:pt idx="0">
                  <c:v>4.5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'10 кл.'!$AF$17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'10 кл.'!$AG$17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'10 кл.'!$AH$17</c:f>
              <c:numCache>
                <c:formatCode>General</c:formatCode>
                <c:ptCount val="1"/>
                <c:pt idx="0">
                  <c:v>4.4285714285714288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'10 кл.'!$AI$17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'10 кл.'!$AJ$17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'10 кл.'!$AK$17</c:f>
              <c:numCache>
                <c:formatCode>General</c:formatCode>
                <c:ptCount val="1"/>
                <c:pt idx="0">
                  <c:v>4.25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'10 кл.'!$AL$17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'10 кл.'!$AM$17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'10 кл.'!$AN$17</c:f>
              <c:numCache>
                <c:formatCode>General</c:formatCode>
                <c:ptCount val="1"/>
                <c:pt idx="0">
                  <c:v>3.375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'10 кл.'!$AO$17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'10 кл.'!$AP$17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'10 кл.'!$AQ$17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'10 кл.'!$AR$17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'10 кл.'!$AS$17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'10 кл.'!$AT$17</c:f>
              <c:numCache>
                <c:formatCode>General</c:formatCode>
                <c:ptCount val="1"/>
                <c:pt idx="0">
                  <c:v>4.333333333333333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'10 кл.'!$AU$17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'10 кл.'!$AV$17</c:f>
              <c:numCache>
                <c:formatCode>General</c:formatCode>
                <c:ptCount val="1"/>
                <c:pt idx="0">
                  <c:v>4.3144841269841274</c:v>
                </c:pt>
              </c:numCache>
            </c:numRef>
          </c:val>
        </c:ser>
        <c:ser>
          <c:idx val="18"/>
          <c:order val="18"/>
          <c:dLbls>
            <c:showVal val="1"/>
          </c:dLbls>
          <c:val>
            <c:numRef>
              <c:f>'10 кл.'!$AW$17</c:f>
              <c:numCache>
                <c:formatCode>General</c:formatCode>
                <c:ptCount val="1"/>
              </c:numCache>
            </c:numRef>
          </c:val>
        </c:ser>
        <c:ser>
          <c:idx val="19"/>
          <c:order val="19"/>
          <c:dLbls>
            <c:showVal val="1"/>
          </c:dLbls>
          <c:val>
            <c:numRef>
              <c:f>'10 кл.'!$AX$17</c:f>
              <c:numCache>
                <c:formatCode>General</c:formatCode>
                <c:ptCount val="1"/>
                <c:pt idx="0">
                  <c:v>4.2041170634920633</c:v>
                </c:pt>
              </c:numCache>
            </c:numRef>
          </c:val>
        </c:ser>
        <c:dLbls>
          <c:showVal val="1"/>
        </c:dLbls>
        <c:gapWidth val="75"/>
        <c:shape val="cylinder"/>
        <c:axId val="73585024"/>
        <c:axId val="73586560"/>
        <c:axId val="0"/>
      </c:bar3DChart>
      <c:catAx>
        <c:axId val="73585024"/>
        <c:scaling>
          <c:orientation val="minMax"/>
        </c:scaling>
        <c:delete val="1"/>
        <c:axPos val="b"/>
        <c:majorTickMark val="none"/>
        <c:tickLblPos val="nextTo"/>
        <c:crossAx val="73586560"/>
        <c:crosses val="autoZero"/>
        <c:auto val="1"/>
        <c:lblAlgn val="ctr"/>
        <c:lblOffset val="100"/>
      </c:catAx>
      <c:valAx>
        <c:axId val="73586560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3585024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'10 кл.'!$BC$17</c:f>
              <c:numCache>
                <c:formatCode>General</c:formatCode>
                <c:ptCount val="1"/>
                <c:pt idx="0">
                  <c:v>3.3636363636363638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'10 кл.'!$BD$17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'10 кл.'!$BE$17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'10 кл.'!$BF$17</c:f>
              <c:numCache>
                <c:formatCode>General</c:formatCode>
                <c:ptCount val="1"/>
                <c:pt idx="0">
                  <c:v>3.3636363636363638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'10 кл.'!$BG$17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'10 кл.'!$BH$17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'10 кл.'!$BI$17</c:f>
              <c:numCache>
                <c:formatCode>General</c:formatCode>
                <c:ptCount val="1"/>
                <c:pt idx="0">
                  <c:v>3.7142857142857144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'10 кл.'!$BJ$17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'10 кл.'!$BK$17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'10 кл.'!$BL$17</c:f>
              <c:numCache>
                <c:formatCode>General</c:formatCode>
                <c:ptCount val="1"/>
                <c:pt idx="0">
                  <c:v>2.5714285714285716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'10 кл.'!$BM$17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'10 кл.'!$BN$17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'10 кл.'!$BO$17</c:f>
              <c:numCache>
                <c:formatCode>General</c:formatCode>
                <c:ptCount val="1"/>
                <c:pt idx="0">
                  <c:v>4.5714285714285712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'10 кл.'!$BP$17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'10 кл.'!$BQ$17</c:f>
              <c:numCache>
                <c:formatCode>General</c:formatCode>
                <c:ptCount val="1"/>
                <c:pt idx="0">
                  <c:v>3.5168831168831169</c:v>
                </c:pt>
              </c:numCache>
            </c:numRef>
          </c:val>
        </c:ser>
        <c:dLbls>
          <c:showVal val="1"/>
        </c:dLbls>
        <c:gapWidth val="75"/>
        <c:shape val="cylinder"/>
        <c:axId val="73636096"/>
        <c:axId val="73650176"/>
        <c:axId val="0"/>
      </c:bar3DChart>
      <c:catAx>
        <c:axId val="73636096"/>
        <c:scaling>
          <c:orientation val="minMax"/>
        </c:scaling>
        <c:delete val="1"/>
        <c:axPos val="b"/>
        <c:majorTickMark val="none"/>
        <c:tickLblPos val="nextTo"/>
        <c:crossAx val="73650176"/>
        <c:crosses val="autoZero"/>
        <c:auto val="1"/>
        <c:lblAlgn val="ctr"/>
        <c:lblOffset val="100"/>
      </c:catAx>
      <c:valAx>
        <c:axId val="73650176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3636096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dLbls>
            <c:dLbl>
              <c:idx val="0"/>
              <c:layout>
                <c:manualLayout>
                  <c:x val="1.9253910950661854E-2"/>
                  <c:y val="-3.7037037037037056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'11 класс'!$BV$24</c:f>
              <c:numCache>
                <c:formatCode>General</c:formatCode>
                <c:ptCount val="1"/>
                <c:pt idx="0">
                  <c:v>3.5714285714285716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'11 класс'!$BW$24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'11 класс'!$BX$24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'11 класс'!$BY$24</c:f>
              <c:numCache>
                <c:formatCode>General</c:formatCode>
                <c:ptCount val="1"/>
                <c:pt idx="0">
                  <c:v>3.75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'11 класс'!$BZ$24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'11 класс'!$CA$24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'11 класс'!$CB$24</c:f>
              <c:numCache>
                <c:formatCode>General</c:formatCode>
                <c:ptCount val="1"/>
                <c:pt idx="0">
                  <c:v>3.6428571428571428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'11 класс'!$CC$24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'11 класс'!$CD$24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'11 класс'!$CE$24</c:f>
              <c:numCache>
                <c:formatCode>General</c:formatCode>
                <c:ptCount val="1"/>
                <c:pt idx="0">
                  <c:v>4.1428571428571432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'11 класс'!$CF$24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dLbl>
              <c:idx val="0"/>
              <c:layout>
                <c:manualLayout>
                  <c:x val="-2.4067388688327369E-3"/>
                  <c:y val="-0.22222222222222224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showVal val="1"/>
            </c:dLbl>
            <c:showVal val="1"/>
          </c:dLbls>
          <c:val>
            <c:numRef>
              <c:f>'11 класс'!$CG$24</c:f>
              <c:numCache>
                <c:formatCode>General</c:formatCode>
                <c:ptCount val="1"/>
                <c:pt idx="0">
                  <c:v>3.7767857142857144</c:v>
                </c:pt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'11 класс'!$CH$24</c:f>
              <c:numCache>
                <c:formatCode>General</c:formatCode>
                <c:ptCount val="1"/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'11 класс'!$CI$24</c:f>
              <c:numCache>
                <c:formatCode>General</c:formatCode>
                <c:ptCount val="1"/>
                <c:pt idx="0">
                  <c:v>3.9900412087912089</c:v>
                </c:pt>
              </c:numCache>
            </c:numRef>
          </c:val>
        </c:ser>
        <c:dLbls>
          <c:showVal val="1"/>
        </c:dLbls>
        <c:gapWidth val="75"/>
        <c:shape val="cylinder"/>
        <c:axId val="73754112"/>
        <c:axId val="73755648"/>
        <c:axId val="0"/>
      </c:bar3DChart>
      <c:catAx>
        <c:axId val="73754112"/>
        <c:scaling>
          <c:orientation val="minMax"/>
        </c:scaling>
        <c:delete val="1"/>
        <c:axPos val="b"/>
        <c:tickLblPos val="nextTo"/>
        <c:crossAx val="73755648"/>
        <c:crosses val="autoZero"/>
        <c:auto val="1"/>
        <c:lblAlgn val="ctr"/>
        <c:lblOffset val="100"/>
      </c:catAx>
      <c:valAx>
        <c:axId val="7375564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375411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 физического развития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28%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3.6506367491653077E-2"/>
                  <c:y val="-1.3261261261261268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55%</a:t>
                    </a:r>
                  </a:p>
                </c:rich>
              </c:tx>
              <c:showCatName val="1"/>
              <c:showPercent val="1"/>
            </c:dLbl>
            <c:dLbl>
              <c:idx val="4"/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17%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'11 класс'!$D$29:$D$33</c:f>
              <c:numCache>
                <c:formatCode>General</c:formatCode>
                <c:ptCount val="5"/>
                <c:pt idx="0">
                  <c:v>27.777777777777779</c:v>
                </c:pt>
                <c:pt idx="1">
                  <c:v>55.555555555555557</c:v>
                </c:pt>
                <c:pt idx="4">
                  <c:v>16.666666666666668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'11 класс'!$O$24</c:f>
              <c:numCache>
                <c:formatCode>General</c:formatCode>
                <c:ptCount val="1"/>
                <c:pt idx="0">
                  <c:v>3.5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'11 класс'!$P$24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'11 класс'!$Q$24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'11 класс'!$R$24</c:f>
              <c:numCache>
                <c:formatCode>General</c:formatCode>
                <c:ptCount val="1"/>
                <c:pt idx="0">
                  <c:v>4.4285714285714288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'11 класс'!$S$24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'11 класс'!$T$24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'11 класс'!$U$24</c:f>
              <c:numCache>
                <c:formatCode>General</c:formatCode>
                <c:ptCount val="1"/>
                <c:pt idx="0">
                  <c:v>3.9333333333333331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'11 класс'!$V$24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'11 класс'!$W$24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'11 класс'!$X$24</c:f>
              <c:numCache>
                <c:formatCode>General</c:formatCode>
                <c:ptCount val="1"/>
                <c:pt idx="0">
                  <c:v>4.6428571428571432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'11 класс'!$Y$24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'11 класс'!$Z$24</c:f>
              <c:numCache>
                <c:formatCode>General</c:formatCode>
                <c:ptCount val="1"/>
                <c:pt idx="0">
                  <c:v>4.1261904761904766</c:v>
                </c:pt>
              </c:numCache>
            </c:numRef>
          </c:val>
        </c:ser>
        <c:dLbls>
          <c:showVal val="1"/>
        </c:dLbls>
        <c:gapWidth val="75"/>
        <c:shape val="cylinder"/>
        <c:axId val="74363648"/>
        <c:axId val="74365184"/>
        <c:axId val="0"/>
      </c:bar3DChart>
      <c:catAx>
        <c:axId val="74363648"/>
        <c:scaling>
          <c:orientation val="minMax"/>
        </c:scaling>
        <c:delete val="1"/>
        <c:axPos val="b"/>
        <c:numFmt formatCode="General" sourceLinked="1"/>
        <c:majorTickMark val="none"/>
        <c:tickLblPos val="nextTo"/>
        <c:crossAx val="74365184"/>
        <c:crosses val="autoZero"/>
        <c:auto val="1"/>
        <c:lblAlgn val="ctr"/>
        <c:lblOffset val="100"/>
      </c:catAx>
      <c:valAx>
        <c:axId val="74365184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4363648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'11 класс'!$AE$24</c:f>
              <c:numCache>
                <c:formatCode>General</c:formatCode>
                <c:ptCount val="1"/>
                <c:pt idx="0">
                  <c:v>4.166666666666667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'11 класс'!$AF$24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'11 класс'!$AG$24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'11 класс'!$AH$24</c:f>
              <c:numCache>
                <c:formatCode>General</c:formatCode>
                <c:ptCount val="1"/>
                <c:pt idx="0">
                  <c:v>3.5555555555555554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'11 класс'!$AI$24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'11 класс'!$AJ$24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'11 класс'!$AK$24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'11 класс'!$AL$24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'11 класс'!$AM$24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'11 класс'!$AN$24</c:f>
              <c:numCache>
                <c:formatCode>General</c:formatCode>
                <c:ptCount val="1"/>
                <c:pt idx="0">
                  <c:v>3.1428571428571428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'11 класс'!$AO$24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'11 класс'!$AP$24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'11 класс'!$AQ$24</c:f>
              <c:numCache>
                <c:formatCode>General</c:formatCode>
                <c:ptCount val="1"/>
                <c:pt idx="0">
                  <c:v>4.2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'11 класс'!$AR$24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'11 класс'!$AS$24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'11 класс'!$AT$24</c:f>
              <c:numCache>
                <c:formatCode>General</c:formatCode>
                <c:ptCount val="1"/>
                <c:pt idx="0">
                  <c:v>4.416666666666667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'11 класс'!$AU$24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'11 класс'!$AV$24</c:f>
              <c:numCache>
                <c:formatCode>General</c:formatCode>
                <c:ptCount val="1"/>
                <c:pt idx="0">
                  <c:v>3.9136243386243383</c:v>
                </c:pt>
              </c:numCache>
            </c:numRef>
          </c:val>
        </c:ser>
        <c:ser>
          <c:idx val="18"/>
          <c:order val="18"/>
          <c:dLbls>
            <c:showVal val="1"/>
          </c:dLbls>
          <c:val>
            <c:numRef>
              <c:f>'11 класс'!$AW$24</c:f>
              <c:numCache>
                <c:formatCode>General</c:formatCode>
                <c:ptCount val="1"/>
              </c:numCache>
            </c:numRef>
          </c:val>
        </c:ser>
        <c:ser>
          <c:idx val="19"/>
          <c:order val="19"/>
          <c:dLbls>
            <c:dLbl>
              <c:idx val="0"/>
              <c:layout>
                <c:manualLayout>
                  <c:x val="2.8551034975017845E-3"/>
                  <c:y val="-9.4202898550724723E-2"/>
                </c:manualLayout>
              </c:layout>
              <c:showVal val="1"/>
            </c:dLbl>
            <c:showVal val="1"/>
          </c:dLbls>
          <c:val>
            <c:numRef>
              <c:f>'11 класс'!$AX$24</c:f>
              <c:numCache>
                <c:formatCode>General</c:formatCode>
                <c:ptCount val="1"/>
                <c:pt idx="0">
                  <c:v>4.0199074074074073</c:v>
                </c:pt>
              </c:numCache>
            </c:numRef>
          </c:val>
        </c:ser>
        <c:dLbls>
          <c:showVal val="1"/>
        </c:dLbls>
        <c:gapWidth val="75"/>
        <c:shape val="cylinder"/>
        <c:axId val="74519296"/>
        <c:axId val="74520832"/>
        <c:axId val="0"/>
      </c:bar3DChart>
      <c:catAx>
        <c:axId val="74519296"/>
        <c:scaling>
          <c:orientation val="minMax"/>
        </c:scaling>
        <c:delete val="1"/>
        <c:axPos val="b"/>
        <c:majorTickMark val="none"/>
        <c:tickLblPos val="nextTo"/>
        <c:crossAx val="74520832"/>
        <c:crosses val="autoZero"/>
        <c:auto val="1"/>
        <c:lblAlgn val="ctr"/>
        <c:lblOffset val="100"/>
      </c:catAx>
      <c:valAx>
        <c:axId val="74520832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4519296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'5-а класс'!$BB$15</c:f>
              <c:numCache>
                <c:formatCode>General</c:formatCode>
                <c:ptCount val="1"/>
                <c:pt idx="0">
                  <c:v>2.75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'5-а класс'!$BC$15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'5-а класс'!$BD$15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'5-а класс'!$BE$15</c:f>
              <c:numCache>
                <c:formatCode>General</c:formatCode>
                <c:ptCount val="1"/>
                <c:pt idx="0">
                  <c:v>2.7142857142857144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'5-а класс'!$BF$15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'5-а класс'!$BG$15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'5-а класс'!$BH$15</c:f>
              <c:numCache>
                <c:formatCode>General</c:formatCode>
                <c:ptCount val="1"/>
                <c:pt idx="0">
                  <c:v>4.7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'5-а класс'!$BI$15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'5-а класс'!$BJ$15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'5-а класс'!$BK$15</c:f>
              <c:numCache>
                <c:formatCode>General</c:formatCode>
                <c:ptCount val="1"/>
                <c:pt idx="0">
                  <c:v>4.5555555555555554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'5-а класс'!$BL$15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'5-а класс'!$BM$15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'5-а класс'!$BN$15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'5-а класс'!$BO$15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'5-а класс'!$BP$15</c:f>
              <c:numCache>
                <c:formatCode>General</c:formatCode>
                <c:ptCount val="1"/>
                <c:pt idx="0">
                  <c:v>3.9439682539682535</c:v>
                </c:pt>
              </c:numCache>
            </c:numRef>
          </c:val>
        </c:ser>
        <c:dLbls>
          <c:showVal val="1"/>
        </c:dLbls>
        <c:gapWidth val="75"/>
        <c:shape val="cylinder"/>
        <c:axId val="66625536"/>
        <c:axId val="66627072"/>
        <c:axId val="0"/>
      </c:bar3DChart>
      <c:catAx>
        <c:axId val="66625536"/>
        <c:scaling>
          <c:orientation val="minMax"/>
        </c:scaling>
        <c:delete val="1"/>
        <c:axPos val="b"/>
        <c:majorTickMark val="none"/>
        <c:tickLblPos val="nextTo"/>
        <c:crossAx val="66627072"/>
        <c:crosses val="autoZero"/>
        <c:auto val="1"/>
        <c:lblAlgn val="ctr"/>
        <c:lblOffset val="100"/>
      </c:catAx>
      <c:valAx>
        <c:axId val="66627072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6625536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'11 класс'!$BC$24</c:f>
              <c:numCache>
                <c:formatCode>General</c:formatCode>
                <c:ptCount val="1"/>
                <c:pt idx="0">
                  <c:v>3.6923076923076925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'11 класс'!$BD$24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'11 класс'!$BE$24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'11 класс'!$BF$24</c:f>
              <c:numCache>
                <c:formatCode>General</c:formatCode>
                <c:ptCount val="1"/>
                <c:pt idx="0">
                  <c:v>3.6153846153846154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'11 класс'!$BG$24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'11 класс'!$BH$24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'11 класс'!$BI$24</c:f>
              <c:numCache>
                <c:formatCode>General</c:formatCode>
                <c:ptCount val="1"/>
                <c:pt idx="0">
                  <c:v>4.5714285714285712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'11 класс'!$BJ$24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'11 класс'!$BK$24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'11 класс'!$BL$24</c:f>
              <c:numCache>
                <c:formatCode>General</c:formatCode>
                <c:ptCount val="1"/>
                <c:pt idx="0">
                  <c:v>4.2142857142857144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'11 класс'!$BM$24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'11 класс'!$BN$24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'11 класс'!$BO$24</c:f>
              <c:numCache>
                <c:formatCode>General</c:formatCode>
                <c:ptCount val="1"/>
                <c:pt idx="0">
                  <c:v>4.9230769230769234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'11 класс'!$BP$24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'11 класс'!$BQ$24</c:f>
              <c:numCache>
                <c:formatCode>General</c:formatCode>
                <c:ptCount val="1"/>
                <c:pt idx="0">
                  <c:v>4.2032967032967035</c:v>
                </c:pt>
              </c:numCache>
            </c:numRef>
          </c:val>
        </c:ser>
        <c:dLbls>
          <c:showVal val="1"/>
        </c:dLbls>
        <c:gapWidth val="75"/>
        <c:shape val="cylinder"/>
        <c:axId val="74648192"/>
        <c:axId val="74654080"/>
        <c:axId val="0"/>
      </c:bar3DChart>
      <c:catAx>
        <c:axId val="74648192"/>
        <c:scaling>
          <c:orientation val="minMax"/>
        </c:scaling>
        <c:delete val="1"/>
        <c:axPos val="b"/>
        <c:majorTickMark val="none"/>
        <c:tickLblPos val="nextTo"/>
        <c:crossAx val="74654080"/>
        <c:crosses val="autoZero"/>
        <c:auto val="1"/>
        <c:lblAlgn val="ctr"/>
        <c:lblOffset val="100"/>
      </c:catAx>
      <c:valAx>
        <c:axId val="74654080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4648192"/>
        <c:crosses val="autoZero"/>
        <c:crossBetween val="between"/>
        <c:majorUnit val="0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autoTitleDeleted val="1"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1 чет.</c:v>
          </c:tx>
          <c:dLbls>
            <c:dLbl>
              <c:idx val="0"/>
              <c:layout>
                <c:manualLayout>
                  <c:x val="2.5673940949935841E-2"/>
                  <c:y val="-0.10648148148148154"/>
                </c:manualLayout>
              </c:layout>
              <c:showVal val="1"/>
            </c:dLbl>
            <c:showVal val="1"/>
          </c:dLbls>
          <c:val>
            <c:numRef>
              <c:f>Итог.таблица!$B$16</c:f>
              <c:numCache>
                <c:formatCode>General</c:formatCode>
                <c:ptCount val="1"/>
                <c:pt idx="0">
                  <c:v>4.3712</c:v>
                </c:pt>
              </c:numCache>
            </c:numRef>
          </c:val>
        </c:ser>
        <c:ser>
          <c:idx val="2"/>
          <c:order val="1"/>
          <c:tx>
            <c:v>2 чет.</c:v>
          </c:tx>
          <c:dLbls>
            <c:dLbl>
              <c:idx val="0"/>
              <c:layout>
                <c:manualLayout>
                  <c:x val="2.0539152759948651E-2"/>
                  <c:y val="-0.12500000000000003"/>
                </c:manualLayout>
              </c:layout>
              <c:showVal val="1"/>
            </c:dLbl>
            <c:showVal val="1"/>
          </c:dLbls>
          <c:val>
            <c:numRef>
              <c:f>Итог.таблица!$D$16</c:f>
              <c:numCache>
                <c:formatCode>General</c:formatCode>
                <c:ptCount val="1"/>
                <c:pt idx="0">
                  <c:v>4.1289700000000007</c:v>
                </c:pt>
              </c:numCache>
            </c:numRef>
          </c:val>
        </c:ser>
        <c:ser>
          <c:idx val="3"/>
          <c:order val="2"/>
          <c:tx>
            <c:v>3 чет.</c:v>
          </c:tx>
          <c:dLbls>
            <c:dLbl>
              <c:idx val="0"/>
              <c:layout>
                <c:manualLayout>
                  <c:x val="2.0539152759948592E-2"/>
                  <c:y val="-0.14814814814814825"/>
                </c:manualLayout>
              </c:layout>
              <c:showVal val="1"/>
            </c:dLbl>
            <c:showVal val="1"/>
          </c:dLbls>
          <c:val>
            <c:numRef>
              <c:f>Итог.таблица!$G$16</c:f>
              <c:numCache>
                <c:formatCode>General</c:formatCode>
                <c:ptCount val="1"/>
                <c:pt idx="0">
                  <c:v>3.9242199999999996</c:v>
                </c:pt>
              </c:numCache>
            </c:numRef>
          </c:val>
        </c:ser>
        <c:ser>
          <c:idx val="4"/>
          <c:order val="3"/>
          <c:tx>
            <c:v>4 чет.</c:v>
          </c:tx>
          <c:dLbls>
            <c:dLbl>
              <c:idx val="0"/>
              <c:layout>
                <c:manualLayout>
                  <c:x val="2.0539152759948651E-2"/>
                  <c:y val="-0.14814814814814825"/>
                </c:manualLayout>
              </c:layout>
              <c:showVal val="1"/>
            </c:dLbl>
            <c:showVal val="1"/>
          </c:dLbls>
          <c:val>
            <c:numRef>
              <c:f>Итог.таблица!$H$16</c:f>
              <c:numCache>
                <c:formatCode>General</c:formatCode>
                <c:ptCount val="1"/>
                <c:pt idx="0">
                  <c:v>4.0750499999999992</c:v>
                </c:pt>
              </c:numCache>
            </c:numRef>
          </c:val>
        </c:ser>
        <c:ser>
          <c:idx val="5"/>
          <c:order val="4"/>
          <c:tx>
            <c:v>годовая</c:v>
          </c:tx>
          <c:dLbls>
            <c:dLbl>
              <c:idx val="0"/>
              <c:layout>
                <c:manualLayout>
                  <c:x val="1.7115960633290545E-2"/>
                  <c:y val="-0.1111111111111111"/>
                </c:manualLayout>
              </c:layout>
              <c:showVal val="1"/>
            </c:dLbl>
            <c:showVal val="1"/>
          </c:dLbls>
          <c:val>
            <c:numRef>
              <c:f>Итог.таблица!$K$16</c:f>
              <c:numCache>
                <c:formatCode>General</c:formatCode>
                <c:ptCount val="1"/>
                <c:pt idx="0">
                  <c:v>4.12486</c:v>
                </c:pt>
              </c:numCache>
            </c:numRef>
          </c:val>
        </c:ser>
        <c:dLbls>
          <c:showVal val="1"/>
        </c:dLbls>
        <c:gapWidth val="75"/>
        <c:shape val="cylinder"/>
        <c:axId val="74728576"/>
        <c:axId val="74730112"/>
        <c:axId val="0"/>
      </c:bar3DChart>
      <c:catAx>
        <c:axId val="74728576"/>
        <c:scaling>
          <c:orientation val="minMax"/>
        </c:scaling>
        <c:delete val="1"/>
        <c:axPos val="b"/>
        <c:majorTickMark val="none"/>
        <c:tickLblPos val="nextTo"/>
        <c:crossAx val="74730112"/>
        <c:crosses val="autoZero"/>
        <c:auto val="1"/>
        <c:lblAlgn val="ctr"/>
        <c:lblOffset val="100"/>
      </c:catAx>
      <c:valAx>
        <c:axId val="74730112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74728576"/>
        <c:crosses val="autoZero"/>
        <c:crossBetween val="between"/>
        <c:majorUnit val="0.5"/>
      </c:valAx>
    </c:plotArea>
    <c:legend>
      <c:legendPos val="b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/>
              <a:t>Тип физического развития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0.17252809169025021"/>
                  <c:y val="8.2552180977377848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Деф.массы</a:t>
                    </a:r>
                    <a:r>
                      <a:rPr lang="en-US"/>
                      <a:t>
5%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0.13958672647581638"/>
                  <c:y val="-9.1862892138482824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Гармоничн.</a:t>
                    </a:r>
                    <a:r>
                      <a:rPr lang="en-US"/>
                      <a:t>
69%</a:t>
                    </a:r>
                  </a:p>
                </c:rich>
              </c:tx>
              <c:showCatName val="1"/>
              <c:showPercent val="1"/>
            </c:dLbl>
            <c:dLbl>
              <c:idx val="4"/>
              <c:tx>
                <c:rich>
                  <a:bodyPr/>
                  <a:lstStyle/>
                  <a:p>
                    <a:r>
                      <a:rPr lang="ru-RU"/>
                      <a:t>Тучное</a:t>
                    </a:r>
                    <a:r>
                      <a:rPr lang="en-US"/>
                      <a:t>
26%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'5-б класс'!$D$29:$D$33</c:f>
              <c:numCache>
                <c:formatCode>General</c:formatCode>
                <c:ptCount val="5"/>
                <c:pt idx="0">
                  <c:v>5.2631578947368425</c:v>
                </c:pt>
                <c:pt idx="1">
                  <c:v>68.421052631578945</c:v>
                </c:pt>
                <c:pt idx="4">
                  <c:v>26.315789473684209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'5-б класс'!$O$24</c:f>
              <c:numCache>
                <c:formatCode>General</c:formatCode>
                <c:ptCount val="1"/>
                <c:pt idx="0">
                  <c:v>3.7894736842105261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'5-б класс'!$P$24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'5-б класс'!$Q$24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'5-б класс'!$R$24</c:f>
              <c:numCache>
                <c:formatCode>General</c:formatCode>
                <c:ptCount val="1"/>
                <c:pt idx="0">
                  <c:v>4.6842105263157894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'5-б класс'!$S$24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'5-б класс'!$T$24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'5-б класс'!$U$24</c:f>
              <c:numCache>
                <c:formatCode>General</c:formatCode>
                <c:ptCount val="1"/>
                <c:pt idx="0">
                  <c:v>3.6315789473684212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'5-б класс'!$V$24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'5-б класс'!$W$24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'5-б класс'!$X$24</c:f>
              <c:numCache>
                <c:formatCode>General</c:formatCode>
                <c:ptCount val="1"/>
                <c:pt idx="0">
                  <c:v>4.6315789473684212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'5-б класс'!$Y$24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'5-б класс'!$Z$24</c:f>
              <c:numCache>
                <c:formatCode>General</c:formatCode>
                <c:ptCount val="1"/>
                <c:pt idx="0">
                  <c:v>4.1842105263157894</c:v>
                </c:pt>
              </c:numCache>
            </c:numRef>
          </c:val>
        </c:ser>
        <c:dLbls>
          <c:showVal val="1"/>
        </c:dLbls>
        <c:gapWidth val="75"/>
        <c:shape val="cylinder"/>
        <c:axId val="67089152"/>
        <c:axId val="67090688"/>
        <c:axId val="0"/>
      </c:bar3DChart>
      <c:catAx>
        <c:axId val="67089152"/>
        <c:scaling>
          <c:orientation val="minMax"/>
        </c:scaling>
        <c:delete val="1"/>
        <c:axPos val="b"/>
        <c:majorTickMark val="none"/>
        <c:tickLblPos val="nextTo"/>
        <c:crossAx val="67090688"/>
        <c:crosses val="autoZero"/>
        <c:auto val="1"/>
        <c:lblAlgn val="ctr"/>
        <c:lblOffset val="100"/>
      </c:catAx>
      <c:valAx>
        <c:axId val="67090688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7089152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'5-б класс'!$AE$24</c:f>
              <c:numCache>
                <c:formatCode>General</c:formatCode>
                <c:ptCount val="1"/>
                <c:pt idx="0">
                  <c:v>4.4444444444444446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'5-б класс'!$AF$24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'5-б класс'!$AG$24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'5-б класс'!$AH$24</c:f>
              <c:numCache>
                <c:formatCode>General</c:formatCode>
                <c:ptCount val="1"/>
                <c:pt idx="0">
                  <c:v>3.9473684210526314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'5-б класс'!$AI$24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'5-б класс'!$AJ$24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'5-б класс'!$AK$24</c:f>
              <c:numCache>
                <c:formatCode>General</c:formatCode>
                <c:ptCount val="1"/>
                <c:pt idx="0">
                  <c:v>4.833333333333333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'5-б класс'!$AL$24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'5-б класс'!$AM$24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'5-б класс'!$AN$24</c:f>
              <c:numCache>
                <c:formatCode>General</c:formatCode>
                <c:ptCount val="1"/>
                <c:pt idx="0">
                  <c:v>3.1052631578947367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'5-б класс'!$AO$24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'5-б класс'!$AP$24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'5-б класс'!$AQ$24</c:f>
              <c:numCache>
                <c:formatCode>General</c:formatCode>
                <c:ptCount val="1"/>
                <c:pt idx="0">
                  <c:v>4.3888888888888893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'5-б класс'!$AR$24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'5-б класс'!$AS$24</c:f>
              <c:numCache>
                <c:formatCode>General</c:formatCode>
                <c:ptCount val="1"/>
              </c:numCache>
            </c:numRef>
          </c:val>
        </c:ser>
        <c:ser>
          <c:idx val="15"/>
          <c:order val="15"/>
          <c:dLbls>
            <c:showVal val="1"/>
          </c:dLbls>
          <c:val>
            <c:numRef>
              <c:f>'5-б класс'!$AT$24</c:f>
              <c:numCache>
                <c:formatCode>General</c:formatCode>
                <c:ptCount val="1"/>
                <c:pt idx="0">
                  <c:v>4.7222222222222223</c:v>
                </c:pt>
              </c:numCache>
            </c:numRef>
          </c:val>
        </c:ser>
        <c:ser>
          <c:idx val="16"/>
          <c:order val="16"/>
          <c:dLbls>
            <c:showVal val="1"/>
          </c:dLbls>
          <c:val>
            <c:numRef>
              <c:f>'5-б класс'!$AU$24</c:f>
              <c:numCache>
                <c:formatCode>General</c:formatCode>
                <c:ptCount val="1"/>
              </c:numCache>
            </c:numRef>
          </c:val>
        </c:ser>
        <c:ser>
          <c:idx val="17"/>
          <c:order val="17"/>
          <c:dLbls>
            <c:showVal val="1"/>
          </c:dLbls>
          <c:val>
            <c:numRef>
              <c:f>'5-б класс'!$AV$24</c:f>
              <c:numCache>
                <c:formatCode>General</c:formatCode>
                <c:ptCount val="1"/>
                <c:pt idx="0">
                  <c:v>4.2402534113060426</c:v>
                </c:pt>
              </c:numCache>
            </c:numRef>
          </c:val>
        </c:ser>
        <c:dLbls>
          <c:showVal val="1"/>
        </c:dLbls>
        <c:gapWidth val="75"/>
        <c:shape val="cylinder"/>
        <c:axId val="67250432"/>
        <c:axId val="67260416"/>
        <c:axId val="0"/>
      </c:bar3DChart>
      <c:catAx>
        <c:axId val="67250432"/>
        <c:scaling>
          <c:orientation val="minMax"/>
        </c:scaling>
        <c:delete val="1"/>
        <c:axPos val="b"/>
        <c:majorTickMark val="none"/>
        <c:tickLblPos val="nextTo"/>
        <c:crossAx val="67260416"/>
        <c:crosses val="autoZero"/>
        <c:auto val="1"/>
        <c:lblAlgn val="ctr"/>
        <c:lblOffset val="100"/>
      </c:catAx>
      <c:valAx>
        <c:axId val="67260416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7250432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lrMapOvr bg1="lt1" tx1="dk1" bg2="lt2" tx2="dk2" accent1="accent1" accent2="accent2" accent3="accent3" accent4="accent4" accent5="accent5" accent6="accent6" hlink="hlink" folHlink="folHlink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'5-б класс'!$BB$24</c:f>
              <c:numCache>
                <c:formatCode>General</c:formatCode>
                <c:ptCount val="1"/>
                <c:pt idx="0">
                  <c:v>3.875</c:v>
                </c:pt>
              </c:numCache>
            </c:numRef>
          </c:val>
        </c:ser>
        <c:ser>
          <c:idx val="1"/>
          <c:order val="1"/>
          <c:dLbls>
            <c:showVal val="1"/>
          </c:dLbls>
          <c:val>
            <c:numRef>
              <c:f>'5-б класс'!$BC$24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dLbls>
            <c:showVal val="1"/>
          </c:dLbls>
          <c:val>
            <c:numRef>
              <c:f>'5-б класс'!$BD$24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dLbls>
            <c:showVal val="1"/>
          </c:dLbls>
          <c:val>
            <c:numRef>
              <c:f>'5-б класс'!$BE$24</c:f>
              <c:numCache>
                <c:formatCode>General</c:formatCode>
                <c:ptCount val="1"/>
                <c:pt idx="0">
                  <c:v>3.375</c:v>
                </c:pt>
              </c:numCache>
            </c:numRef>
          </c:val>
        </c:ser>
        <c:ser>
          <c:idx val="4"/>
          <c:order val="4"/>
          <c:dLbls>
            <c:showVal val="1"/>
          </c:dLbls>
          <c:val>
            <c:numRef>
              <c:f>'5-б класс'!$BF$24</c:f>
              <c:numCache>
                <c:formatCode>General</c:formatCode>
                <c:ptCount val="1"/>
              </c:numCache>
            </c:numRef>
          </c:val>
        </c:ser>
        <c:ser>
          <c:idx val="5"/>
          <c:order val="5"/>
          <c:dLbls>
            <c:showVal val="1"/>
          </c:dLbls>
          <c:val>
            <c:numRef>
              <c:f>'5-б класс'!$BG$24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dLbls>
            <c:showVal val="1"/>
          </c:dLbls>
          <c:val>
            <c:numRef>
              <c:f>'5-б класс'!$BH$24</c:f>
              <c:numCache>
                <c:formatCode>General</c:formatCode>
                <c:ptCount val="1"/>
                <c:pt idx="0">
                  <c:v>4.5</c:v>
                </c:pt>
              </c:numCache>
            </c:numRef>
          </c:val>
        </c:ser>
        <c:ser>
          <c:idx val="7"/>
          <c:order val="7"/>
          <c:dLbls>
            <c:showVal val="1"/>
          </c:dLbls>
          <c:val>
            <c:numRef>
              <c:f>'5-б класс'!$BI$24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dLbls>
            <c:showVal val="1"/>
          </c:dLbls>
          <c:val>
            <c:numRef>
              <c:f>'5-б класс'!$BJ$24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dLbls>
            <c:showVal val="1"/>
          </c:dLbls>
          <c:val>
            <c:numRef>
              <c:f>'5-б класс'!$BK$24</c:f>
              <c:numCache>
                <c:formatCode>General</c:formatCode>
                <c:ptCount val="1"/>
                <c:pt idx="0">
                  <c:v>4.117647058823529</c:v>
                </c:pt>
              </c:numCache>
            </c:numRef>
          </c:val>
        </c:ser>
        <c:ser>
          <c:idx val="10"/>
          <c:order val="10"/>
          <c:dLbls>
            <c:showVal val="1"/>
          </c:dLbls>
          <c:val>
            <c:numRef>
              <c:f>'5-б класс'!$BL$24</c:f>
              <c:numCache>
                <c:formatCode>General</c:formatCode>
                <c:ptCount val="1"/>
              </c:numCache>
            </c:numRef>
          </c:val>
        </c:ser>
        <c:ser>
          <c:idx val="11"/>
          <c:order val="11"/>
          <c:dLbls>
            <c:showVal val="1"/>
          </c:dLbls>
          <c:val>
            <c:numRef>
              <c:f>'5-б класс'!$BM$24</c:f>
              <c:numCache>
                <c:formatCode>General</c:formatCode>
                <c:ptCount val="1"/>
              </c:numCache>
            </c:numRef>
          </c:val>
        </c:ser>
        <c:ser>
          <c:idx val="12"/>
          <c:order val="12"/>
          <c:dLbls>
            <c:showVal val="1"/>
          </c:dLbls>
          <c:val>
            <c:numRef>
              <c:f>'5-б класс'!$BN$24</c:f>
              <c:numCache>
                <c:formatCode>General</c:formatCode>
                <c:ptCount val="1"/>
                <c:pt idx="0">
                  <c:v>4.4444444444444446</c:v>
                </c:pt>
              </c:numCache>
            </c:numRef>
          </c:val>
        </c:ser>
        <c:ser>
          <c:idx val="13"/>
          <c:order val="13"/>
          <c:dLbls>
            <c:showVal val="1"/>
          </c:dLbls>
          <c:val>
            <c:numRef>
              <c:f>'5-б класс'!$BO$24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dLbls>
            <c:showVal val="1"/>
          </c:dLbls>
          <c:val>
            <c:numRef>
              <c:f>'5-б класс'!$BP$24</c:f>
              <c:numCache>
                <c:formatCode>General</c:formatCode>
                <c:ptCount val="1"/>
                <c:pt idx="0">
                  <c:v>4.0624183006535945</c:v>
                </c:pt>
              </c:numCache>
            </c:numRef>
          </c:val>
        </c:ser>
        <c:dLbls>
          <c:showVal val="1"/>
        </c:dLbls>
        <c:gapWidth val="75"/>
        <c:shape val="cylinder"/>
        <c:axId val="67367296"/>
        <c:axId val="67368832"/>
        <c:axId val="0"/>
      </c:bar3DChart>
      <c:catAx>
        <c:axId val="67367296"/>
        <c:scaling>
          <c:orientation val="minMax"/>
        </c:scaling>
        <c:delete val="1"/>
        <c:axPos val="b"/>
        <c:majorTickMark val="none"/>
        <c:tickLblPos val="nextTo"/>
        <c:crossAx val="67368832"/>
        <c:crosses val="autoZero"/>
        <c:auto val="1"/>
        <c:lblAlgn val="ctr"/>
        <c:lblOffset val="100"/>
      </c:catAx>
      <c:valAx>
        <c:axId val="67368832"/>
        <c:scaling>
          <c:orientation val="minMax"/>
          <c:max val="5"/>
          <c:min val="2"/>
        </c:scaling>
        <c:axPos val="l"/>
        <c:numFmt formatCode="General" sourceLinked="1"/>
        <c:majorTickMark val="none"/>
        <c:tickLblPos val="nextTo"/>
        <c:crossAx val="67367296"/>
        <c:crosses val="autoZero"/>
        <c:crossBetween val="between"/>
        <c:majorUnit val="0.5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0</xdr:colOff>
      <xdr:row>15</xdr:row>
      <xdr:rowOff>57150</xdr:rowOff>
    </xdr:from>
    <xdr:to>
      <xdr:col>80</xdr:col>
      <xdr:colOff>371475</xdr:colOff>
      <xdr:row>26</xdr:row>
      <xdr:rowOff>19050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13</xdr:row>
      <xdr:rowOff>38100</xdr:rowOff>
    </xdr:from>
    <xdr:to>
      <xdr:col>10</xdr:col>
      <xdr:colOff>533400</xdr:colOff>
      <xdr:row>26</xdr:row>
      <xdr:rowOff>9524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19050</xdr:colOff>
      <xdr:row>15</xdr:row>
      <xdr:rowOff>19050</xdr:rowOff>
    </xdr:from>
    <xdr:to>
      <xdr:col>23</xdr:col>
      <xdr:colOff>352425</xdr:colOff>
      <xdr:row>26</xdr:row>
      <xdr:rowOff>9525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28575</xdr:colOff>
      <xdr:row>15</xdr:row>
      <xdr:rowOff>28575</xdr:rowOff>
    </xdr:from>
    <xdr:to>
      <xdr:col>45</xdr:col>
      <xdr:colOff>314325</xdr:colOff>
      <xdr:row>26</xdr:row>
      <xdr:rowOff>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28575</xdr:colOff>
      <xdr:row>15</xdr:row>
      <xdr:rowOff>19050</xdr:rowOff>
    </xdr:from>
    <xdr:to>
      <xdr:col>65</xdr:col>
      <xdr:colOff>333375</xdr:colOff>
      <xdr:row>26</xdr:row>
      <xdr:rowOff>9525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71</xdr:col>
      <xdr:colOff>0</xdr:colOff>
      <xdr:row>24</xdr:row>
      <xdr:rowOff>66675</xdr:rowOff>
    </xdr:from>
    <xdr:to>
      <xdr:col>84</xdr:col>
      <xdr:colOff>257175</xdr:colOff>
      <xdr:row>35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22</xdr:row>
      <xdr:rowOff>28576</xdr:rowOff>
    </xdr:from>
    <xdr:to>
      <xdr:col>10</xdr:col>
      <xdr:colOff>533400</xdr:colOff>
      <xdr:row>35</xdr:row>
      <xdr:rowOff>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9524</xdr:colOff>
      <xdr:row>24</xdr:row>
      <xdr:rowOff>19050</xdr:rowOff>
    </xdr:from>
    <xdr:to>
      <xdr:col>23</xdr:col>
      <xdr:colOff>342899</xdr:colOff>
      <xdr:row>35</xdr:row>
      <xdr:rowOff>9525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19050</xdr:colOff>
      <xdr:row>24</xdr:row>
      <xdr:rowOff>28575</xdr:rowOff>
    </xdr:from>
    <xdr:to>
      <xdr:col>47</xdr:col>
      <xdr:colOff>400050</xdr:colOff>
      <xdr:row>35</xdr:row>
      <xdr:rowOff>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19050</xdr:colOff>
      <xdr:row>24</xdr:row>
      <xdr:rowOff>28575</xdr:rowOff>
    </xdr:from>
    <xdr:to>
      <xdr:col>66</xdr:col>
      <xdr:colOff>342900</xdr:colOff>
      <xdr:row>35</xdr:row>
      <xdr:rowOff>9525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16</xdr:row>
      <xdr:rowOff>28575</xdr:rowOff>
    </xdr:from>
    <xdr:to>
      <xdr:col>11</xdr:col>
      <xdr:colOff>600074</xdr:colOff>
      <xdr:row>33</xdr:row>
      <xdr:rowOff>19050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22</xdr:row>
      <xdr:rowOff>38101</xdr:rowOff>
    </xdr:from>
    <xdr:to>
      <xdr:col>10</xdr:col>
      <xdr:colOff>533400</xdr:colOff>
      <xdr:row>35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19049</xdr:colOff>
      <xdr:row>24</xdr:row>
      <xdr:rowOff>19050</xdr:rowOff>
    </xdr:from>
    <xdr:to>
      <xdr:col>23</xdr:col>
      <xdr:colOff>352424</xdr:colOff>
      <xdr:row>35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19050</xdr:colOff>
      <xdr:row>24</xdr:row>
      <xdr:rowOff>28575</xdr:rowOff>
    </xdr:from>
    <xdr:to>
      <xdr:col>45</xdr:col>
      <xdr:colOff>323850</xdr:colOff>
      <xdr:row>35</xdr:row>
      <xdr:rowOff>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50</xdr:col>
      <xdr:colOff>19050</xdr:colOff>
      <xdr:row>24</xdr:row>
      <xdr:rowOff>19050</xdr:rowOff>
    </xdr:from>
    <xdr:to>
      <xdr:col>65</xdr:col>
      <xdr:colOff>361950</xdr:colOff>
      <xdr:row>35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70</xdr:col>
      <xdr:colOff>9525</xdr:colOff>
      <xdr:row>24</xdr:row>
      <xdr:rowOff>28575</xdr:rowOff>
    </xdr:from>
    <xdr:to>
      <xdr:col>81</xdr:col>
      <xdr:colOff>342899</xdr:colOff>
      <xdr:row>35</xdr:row>
      <xdr:rowOff>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0</xdr:colOff>
      <xdr:row>24</xdr:row>
      <xdr:rowOff>76200</xdr:rowOff>
    </xdr:from>
    <xdr:to>
      <xdr:col>81</xdr:col>
      <xdr:colOff>95250</xdr:colOff>
      <xdr:row>35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22</xdr:row>
      <xdr:rowOff>28575</xdr:rowOff>
    </xdr:from>
    <xdr:to>
      <xdr:col>10</xdr:col>
      <xdr:colOff>523875</xdr:colOff>
      <xdr:row>35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28575</xdr:colOff>
      <xdr:row>24</xdr:row>
      <xdr:rowOff>28575</xdr:rowOff>
    </xdr:from>
    <xdr:to>
      <xdr:col>23</xdr:col>
      <xdr:colOff>381000</xdr:colOff>
      <xdr:row>34</xdr:row>
      <xdr:rowOff>152400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19049</xdr:colOff>
      <xdr:row>24</xdr:row>
      <xdr:rowOff>19050</xdr:rowOff>
    </xdr:from>
    <xdr:to>
      <xdr:col>45</xdr:col>
      <xdr:colOff>352424</xdr:colOff>
      <xdr:row>35</xdr:row>
      <xdr:rowOff>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19049</xdr:colOff>
      <xdr:row>24</xdr:row>
      <xdr:rowOff>28575</xdr:rowOff>
    </xdr:from>
    <xdr:to>
      <xdr:col>65</xdr:col>
      <xdr:colOff>342899</xdr:colOff>
      <xdr:row>34</xdr:row>
      <xdr:rowOff>152400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28576</xdr:colOff>
      <xdr:row>15</xdr:row>
      <xdr:rowOff>19050</xdr:rowOff>
    </xdr:from>
    <xdr:to>
      <xdr:col>81</xdr:col>
      <xdr:colOff>342900</xdr:colOff>
      <xdr:row>26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13</xdr:row>
      <xdr:rowOff>28576</xdr:rowOff>
    </xdr:from>
    <xdr:to>
      <xdr:col>10</xdr:col>
      <xdr:colOff>533400</xdr:colOff>
      <xdr:row>25</xdr:row>
      <xdr:rowOff>142876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9524</xdr:colOff>
      <xdr:row>15</xdr:row>
      <xdr:rowOff>19050</xdr:rowOff>
    </xdr:from>
    <xdr:to>
      <xdr:col>23</xdr:col>
      <xdr:colOff>409574</xdr:colOff>
      <xdr:row>26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38099</xdr:colOff>
      <xdr:row>15</xdr:row>
      <xdr:rowOff>28575</xdr:rowOff>
    </xdr:from>
    <xdr:to>
      <xdr:col>45</xdr:col>
      <xdr:colOff>352424</xdr:colOff>
      <xdr:row>26</xdr:row>
      <xdr:rowOff>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28574</xdr:colOff>
      <xdr:row>15</xdr:row>
      <xdr:rowOff>19050</xdr:rowOff>
    </xdr:from>
    <xdr:to>
      <xdr:col>65</xdr:col>
      <xdr:colOff>352424</xdr:colOff>
      <xdr:row>26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0</xdr:colOff>
      <xdr:row>25</xdr:row>
      <xdr:rowOff>47625</xdr:rowOff>
    </xdr:from>
    <xdr:to>
      <xdr:col>81</xdr:col>
      <xdr:colOff>219075</xdr:colOff>
      <xdr:row>36</xdr:row>
      <xdr:rowOff>0</xdr:rowOff>
    </xdr:to>
    <xdr:graphicFrame macro="">
      <xdr:nvGraphicFramePr>
        <xdr:cNvPr id="2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23</xdr:row>
      <xdr:rowOff>28575</xdr:rowOff>
    </xdr:from>
    <xdr:to>
      <xdr:col>10</xdr:col>
      <xdr:colOff>533400</xdr:colOff>
      <xdr:row>36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9524</xdr:colOff>
      <xdr:row>25</xdr:row>
      <xdr:rowOff>19050</xdr:rowOff>
    </xdr:from>
    <xdr:to>
      <xdr:col>23</xdr:col>
      <xdr:colOff>400049</xdr:colOff>
      <xdr:row>36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19050</xdr:colOff>
      <xdr:row>25</xdr:row>
      <xdr:rowOff>28575</xdr:rowOff>
    </xdr:from>
    <xdr:to>
      <xdr:col>45</xdr:col>
      <xdr:colOff>333375</xdr:colOff>
      <xdr:row>36</xdr:row>
      <xdr:rowOff>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19050</xdr:colOff>
      <xdr:row>25</xdr:row>
      <xdr:rowOff>19050</xdr:rowOff>
    </xdr:from>
    <xdr:to>
      <xdr:col>65</xdr:col>
      <xdr:colOff>314325</xdr:colOff>
      <xdr:row>36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28575</xdr:colOff>
      <xdr:row>18</xdr:row>
      <xdr:rowOff>76200</xdr:rowOff>
    </xdr:from>
    <xdr:to>
      <xdr:col>81</xdr:col>
      <xdr:colOff>228600</xdr:colOff>
      <xdr:row>29</xdr:row>
      <xdr:rowOff>9525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16</xdr:row>
      <xdr:rowOff>38100</xdr:rowOff>
    </xdr:from>
    <xdr:to>
      <xdr:col>11</xdr:col>
      <xdr:colOff>0</xdr:colOff>
      <xdr:row>29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28574</xdr:colOff>
      <xdr:row>18</xdr:row>
      <xdr:rowOff>19050</xdr:rowOff>
    </xdr:from>
    <xdr:to>
      <xdr:col>23</xdr:col>
      <xdr:colOff>323849</xdr:colOff>
      <xdr:row>29</xdr:row>
      <xdr:rowOff>9525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19050</xdr:colOff>
      <xdr:row>18</xdr:row>
      <xdr:rowOff>19050</xdr:rowOff>
    </xdr:from>
    <xdr:to>
      <xdr:col>45</xdr:col>
      <xdr:colOff>352425</xdr:colOff>
      <xdr:row>29</xdr:row>
      <xdr:rowOff>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19050</xdr:colOff>
      <xdr:row>18</xdr:row>
      <xdr:rowOff>28575</xdr:rowOff>
    </xdr:from>
    <xdr:to>
      <xdr:col>65</xdr:col>
      <xdr:colOff>314325</xdr:colOff>
      <xdr:row>29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0</xdr:colOff>
      <xdr:row>27</xdr:row>
      <xdr:rowOff>85725</xdr:rowOff>
    </xdr:from>
    <xdr:to>
      <xdr:col>81</xdr:col>
      <xdr:colOff>190500</xdr:colOff>
      <xdr:row>38</xdr:row>
      <xdr:rowOff>9525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</xdr:colOff>
      <xdr:row>25</xdr:row>
      <xdr:rowOff>38100</xdr:rowOff>
    </xdr:from>
    <xdr:to>
      <xdr:col>10</xdr:col>
      <xdr:colOff>533400</xdr:colOff>
      <xdr:row>37</xdr:row>
      <xdr:rowOff>152400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9524</xdr:colOff>
      <xdr:row>27</xdr:row>
      <xdr:rowOff>28575</xdr:rowOff>
    </xdr:from>
    <xdr:to>
      <xdr:col>23</xdr:col>
      <xdr:colOff>323849</xdr:colOff>
      <xdr:row>38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19050</xdr:colOff>
      <xdr:row>27</xdr:row>
      <xdr:rowOff>19050</xdr:rowOff>
    </xdr:from>
    <xdr:to>
      <xdr:col>45</xdr:col>
      <xdr:colOff>333375</xdr:colOff>
      <xdr:row>38</xdr:row>
      <xdr:rowOff>9525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19049</xdr:colOff>
      <xdr:row>27</xdr:row>
      <xdr:rowOff>19050</xdr:rowOff>
    </xdr:from>
    <xdr:to>
      <xdr:col>65</xdr:col>
      <xdr:colOff>342899</xdr:colOff>
      <xdr:row>38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19050</xdr:colOff>
      <xdr:row>15</xdr:row>
      <xdr:rowOff>38100</xdr:rowOff>
    </xdr:from>
    <xdr:to>
      <xdr:col>81</xdr:col>
      <xdr:colOff>190500</xdr:colOff>
      <xdr:row>26</xdr:row>
      <xdr:rowOff>9525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13</xdr:row>
      <xdr:rowOff>47625</xdr:rowOff>
    </xdr:from>
    <xdr:to>
      <xdr:col>10</xdr:col>
      <xdr:colOff>542925</xdr:colOff>
      <xdr:row>26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19049</xdr:colOff>
      <xdr:row>15</xdr:row>
      <xdr:rowOff>19050</xdr:rowOff>
    </xdr:from>
    <xdr:to>
      <xdr:col>23</xdr:col>
      <xdr:colOff>333374</xdr:colOff>
      <xdr:row>26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19050</xdr:colOff>
      <xdr:row>15</xdr:row>
      <xdr:rowOff>19050</xdr:rowOff>
    </xdr:from>
    <xdr:to>
      <xdr:col>45</xdr:col>
      <xdr:colOff>352425</xdr:colOff>
      <xdr:row>26</xdr:row>
      <xdr:rowOff>9525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19050</xdr:colOff>
      <xdr:row>15</xdr:row>
      <xdr:rowOff>9525</xdr:rowOff>
    </xdr:from>
    <xdr:to>
      <xdr:col>65</xdr:col>
      <xdr:colOff>352425</xdr:colOff>
      <xdr:row>26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71</xdr:col>
      <xdr:colOff>19050</xdr:colOff>
      <xdr:row>17</xdr:row>
      <xdr:rowOff>57150</xdr:rowOff>
    </xdr:from>
    <xdr:to>
      <xdr:col>84</xdr:col>
      <xdr:colOff>257175</xdr:colOff>
      <xdr:row>28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15</xdr:row>
      <xdr:rowOff>38100</xdr:rowOff>
    </xdr:from>
    <xdr:to>
      <xdr:col>10</xdr:col>
      <xdr:colOff>571500</xdr:colOff>
      <xdr:row>28</xdr:row>
      <xdr:rowOff>9525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17</xdr:row>
      <xdr:rowOff>19050</xdr:rowOff>
    </xdr:from>
    <xdr:to>
      <xdr:col>23</xdr:col>
      <xdr:colOff>352425</xdr:colOff>
      <xdr:row>28</xdr:row>
      <xdr:rowOff>9525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19049</xdr:colOff>
      <xdr:row>17</xdr:row>
      <xdr:rowOff>19050</xdr:rowOff>
    </xdr:from>
    <xdr:to>
      <xdr:col>47</xdr:col>
      <xdr:colOff>409574</xdr:colOff>
      <xdr:row>28</xdr:row>
      <xdr:rowOff>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19050</xdr:colOff>
      <xdr:row>17</xdr:row>
      <xdr:rowOff>19050</xdr:rowOff>
    </xdr:from>
    <xdr:to>
      <xdr:col>66</xdr:col>
      <xdr:colOff>333375</xdr:colOff>
      <xdr:row>28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>
      <selection activeCell="D10" sqref="D10"/>
    </sheetView>
  </sheetViews>
  <sheetFormatPr defaultRowHeight="15"/>
  <sheetData>
    <row r="1" spans="1:10">
      <c r="A1" s="342"/>
      <c r="B1" s="342"/>
      <c r="C1" s="342"/>
      <c r="D1" s="342"/>
      <c r="E1" s="342"/>
      <c r="F1" s="342"/>
      <c r="G1" s="342"/>
      <c r="H1" s="342"/>
      <c r="I1" s="342"/>
      <c r="J1" s="342"/>
    </row>
    <row r="2" spans="1:10">
      <c r="A2" s="410" t="s">
        <v>408</v>
      </c>
      <c r="B2" s="410"/>
      <c r="C2" s="410"/>
      <c r="D2" s="410"/>
      <c r="E2" s="410"/>
      <c r="F2" s="410"/>
      <c r="G2" s="410"/>
      <c r="H2" s="410"/>
      <c r="I2" s="410"/>
      <c r="J2" s="410"/>
    </row>
    <row r="3" spans="1:10" ht="37.5" customHeight="1">
      <c r="A3" s="342"/>
      <c r="B3" s="357" t="s">
        <v>405</v>
      </c>
      <c r="C3" s="357"/>
      <c r="D3" s="357"/>
      <c r="E3" s="357"/>
      <c r="F3" s="357"/>
      <c r="G3" s="357"/>
      <c r="H3" s="357"/>
      <c r="I3" s="357"/>
      <c r="J3" s="342"/>
    </row>
    <row r="4" spans="1:10" ht="18">
      <c r="A4" s="342"/>
      <c r="B4" s="358" t="s">
        <v>403</v>
      </c>
      <c r="C4" s="358"/>
      <c r="D4" s="358"/>
      <c r="E4" s="358"/>
      <c r="F4" s="358"/>
      <c r="G4" s="358"/>
      <c r="H4" s="358"/>
      <c r="I4" s="358"/>
      <c r="J4" s="342"/>
    </row>
    <row r="5" spans="1:10" ht="42" customHeight="1">
      <c r="A5" s="342"/>
      <c r="B5" s="358" t="s">
        <v>404</v>
      </c>
      <c r="C5" s="358"/>
      <c r="D5" s="358"/>
      <c r="E5" s="358"/>
      <c r="F5" s="358"/>
      <c r="G5" s="358"/>
      <c r="H5" s="358"/>
      <c r="I5" s="358"/>
      <c r="J5" s="342"/>
    </row>
    <row r="6" spans="1:10">
      <c r="A6" s="409" t="s">
        <v>407</v>
      </c>
      <c r="B6" s="408"/>
      <c r="C6" s="408"/>
      <c r="D6" s="408"/>
      <c r="E6" s="408"/>
      <c r="F6" s="408"/>
      <c r="G6" s="408"/>
      <c r="H6" s="408"/>
      <c r="I6" s="408"/>
      <c r="J6" s="408"/>
    </row>
    <row r="7" spans="1:10">
      <c r="A7" s="342"/>
      <c r="B7" s="342"/>
      <c r="C7" s="342"/>
      <c r="D7" s="342"/>
      <c r="E7" s="342"/>
      <c r="F7" s="342"/>
      <c r="G7" s="342"/>
      <c r="H7" s="342"/>
      <c r="I7" s="342"/>
      <c r="J7" s="342"/>
    </row>
    <row r="8" spans="1:10">
      <c r="A8" s="342"/>
      <c r="B8" s="342"/>
      <c r="C8" s="342"/>
      <c r="D8" s="342"/>
      <c r="E8" s="342"/>
      <c r="F8" s="342"/>
      <c r="G8" s="342"/>
      <c r="H8" s="342"/>
      <c r="I8" s="342"/>
      <c r="J8" s="342"/>
    </row>
  </sheetData>
  <mergeCells count="5">
    <mergeCell ref="B3:I3"/>
    <mergeCell ref="B4:I4"/>
    <mergeCell ref="B5:I5"/>
    <mergeCell ref="A6:J6"/>
    <mergeCell ref="A2:J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M41"/>
  <sheetViews>
    <sheetView workbookViewId="0">
      <selection activeCell="M15" sqref="M15"/>
    </sheetView>
  </sheetViews>
  <sheetFormatPr defaultColWidth="8.42578125" defaultRowHeight="12.75"/>
  <cols>
    <col min="1" max="1" width="11.140625" style="1" customWidth="1"/>
    <col min="2" max="2" width="18.28515625" style="1" customWidth="1"/>
    <col min="3" max="4" width="10.140625" style="1" customWidth="1"/>
    <col min="5" max="9" width="8.7109375" style="1" customWidth="1"/>
    <col min="10" max="10" width="9.85546875" style="1" customWidth="1"/>
    <col min="11" max="11" width="8.7109375" style="1" customWidth="1"/>
    <col min="12" max="12" width="19.140625" style="1" customWidth="1"/>
    <col min="13" max="24" width="5.7109375" style="1" customWidth="1"/>
    <col min="25" max="25" width="10.5703125" style="1" customWidth="1"/>
    <col min="26" max="27" width="7.140625" style="1" customWidth="1"/>
    <col min="28" max="28" width="18.5703125" style="1" customWidth="1"/>
    <col min="29" max="33" width="5.7109375" style="1" customWidth="1"/>
    <col min="34" max="34" width="6.140625" style="1" customWidth="1"/>
    <col min="35" max="46" width="5.7109375" style="1" customWidth="1"/>
    <col min="47" max="47" width="6.42578125" style="1" customWidth="1"/>
    <col min="48" max="48" width="6.85546875" style="1" customWidth="1"/>
    <col min="49" max="49" width="9" style="1" customWidth="1"/>
    <col min="50" max="51" width="6.7109375" style="1" customWidth="1"/>
    <col min="52" max="52" width="19.85546875" style="1" customWidth="1"/>
    <col min="53" max="67" width="5.7109375" style="1" customWidth="1"/>
    <col min="68" max="68" width="8.7109375" style="1" customWidth="1"/>
    <col min="69" max="69" width="7.28515625" style="1" customWidth="1"/>
    <col min="70" max="83" width="5.7109375" style="1" customWidth="1"/>
    <col min="84" max="84" width="6.7109375" style="1" customWidth="1"/>
    <col min="85" max="85" width="6.85546875" style="1" customWidth="1"/>
    <col min="86" max="86" width="6.7109375" style="1" customWidth="1"/>
    <col min="87" max="87" width="6.28515625" style="1" customWidth="1"/>
    <col min="88" max="88" width="5.85546875" style="1" customWidth="1"/>
    <col min="89" max="90" width="7.7109375" style="1" customWidth="1"/>
    <col min="91" max="91" width="18.42578125" style="1" customWidth="1"/>
    <col min="92" max="258" width="8.42578125" style="1"/>
    <col min="259" max="259" width="11.140625" style="1" customWidth="1"/>
    <col min="260" max="260" width="18.28515625" style="1" customWidth="1"/>
    <col min="261" max="262" width="10.140625" style="1" customWidth="1"/>
    <col min="263" max="267" width="8.7109375" style="1" customWidth="1"/>
    <col min="268" max="268" width="9.85546875" style="1" customWidth="1"/>
    <col min="269" max="269" width="8.7109375" style="1" customWidth="1"/>
    <col min="270" max="270" width="19.140625" style="1" customWidth="1"/>
    <col min="271" max="282" width="5.7109375" style="1" customWidth="1"/>
    <col min="283" max="283" width="10.5703125" style="1" customWidth="1"/>
    <col min="284" max="285" width="7.140625" style="1" customWidth="1"/>
    <col min="286" max="286" width="18.5703125" style="1" customWidth="1"/>
    <col min="287" max="291" width="5.7109375" style="1" customWidth="1"/>
    <col min="292" max="292" width="6.140625" style="1" customWidth="1"/>
    <col min="293" max="304" width="5.7109375" style="1" customWidth="1"/>
    <col min="305" max="305" width="6.42578125" style="1" customWidth="1"/>
    <col min="306" max="306" width="6.85546875" style="1" customWidth="1"/>
    <col min="307" max="307" width="9" style="1" customWidth="1"/>
    <col min="308" max="309" width="6.7109375" style="1" customWidth="1"/>
    <col min="310" max="310" width="19.85546875" style="1" customWidth="1"/>
    <col min="311" max="325" width="5.7109375" style="1" customWidth="1"/>
    <col min="326" max="326" width="6.28515625" style="1" customWidth="1"/>
    <col min="327" max="327" width="7.28515625" style="1" customWidth="1"/>
    <col min="328" max="340" width="5.7109375" style="1" customWidth="1"/>
    <col min="341" max="341" width="6.7109375" style="1" customWidth="1"/>
    <col min="342" max="342" width="6.85546875" style="1" customWidth="1"/>
    <col min="343" max="343" width="6.7109375" style="1" customWidth="1"/>
    <col min="344" max="344" width="6.28515625" style="1" customWidth="1"/>
    <col min="345" max="345" width="5.85546875" style="1" customWidth="1"/>
    <col min="346" max="346" width="7.7109375" style="1" customWidth="1"/>
    <col min="347" max="347" width="18.42578125" style="1" customWidth="1"/>
    <col min="348" max="514" width="8.42578125" style="1"/>
    <col min="515" max="515" width="11.140625" style="1" customWidth="1"/>
    <col min="516" max="516" width="18.28515625" style="1" customWidth="1"/>
    <col min="517" max="518" width="10.140625" style="1" customWidth="1"/>
    <col min="519" max="523" width="8.7109375" style="1" customWidth="1"/>
    <col min="524" max="524" width="9.85546875" style="1" customWidth="1"/>
    <col min="525" max="525" width="8.7109375" style="1" customWidth="1"/>
    <col min="526" max="526" width="19.140625" style="1" customWidth="1"/>
    <col min="527" max="538" width="5.7109375" style="1" customWidth="1"/>
    <col min="539" max="539" width="10.5703125" style="1" customWidth="1"/>
    <col min="540" max="541" width="7.140625" style="1" customWidth="1"/>
    <col min="542" max="542" width="18.5703125" style="1" customWidth="1"/>
    <col min="543" max="547" width="5.7109375" style="1" customWidth="1"/>
    <col min="548" max="548" width="6.140625" style="1" customWidth="1"/>
    <col min="549" max="560" width="5.7109375" style="1" customWidth="1"/>
    <col min="561" max="561" width="6.42578125" style="1" customWidth="1"/>
    <col min="562" max="562" width="6.85546875" style="1" customWidth="1"/>
    <col min="563" max="563" width="9" style="1" customWidth="1"/>
    <col min="564" max="565" width="6.7109375" style="1" customWidth="1"/>
    <col min="566" max="566" width="19.85546875" style="1" customWidth="1"/>
    <col min="567" max="581" width="5.7109375" style="1" customWidth="1"/>
    <col min="582" max="582" width="6.28515625" style="1" customWidth="1"/>
    <col min="583" max="583" width="7.28515625" style="1" customWidth="1"/>
    <col min="584" max="596" width="5.7109375" style="1" customWidth="1"/>
    <col min="597" max="597" width="6.7109375" style="1" customWidth="1"/>
    <col min="598" max="598" width="6.85546875" style="1" customWidth="1"/>
    <col min="599" max="599" width="6.7109375" style="1" customWidth="1"/>
    <col min="600" max="600" width="6.28515625" style="1" customWidth="1"/>
    <col min="601" max="601" width="5.85546875" style="1" customWidth="1"/>
    <col min="602" max="602" width="7.7109375" style="1" customWidth="1"/>
    <col min="603" max="603" width="18.42578125" style="1" customWidth="1"/>
    <col min="604" max="770" width="8.42578125" style="1"/>
    <col min="771" max="771" width="11.140625" style="1" customWidth="1"/>
    <col min="772" max="772" width="18.28515625" style="1" customWidth="1"/>
    <col min="773" max="774" width="10.140625" style="1" customWidth="1"/>
    <col min="775" max="779" width="8.7109375" style="1" customWidth="1"/>
    <col min="780" max="780" width="9.85546875" style="1" customWidth="1"/>
    <col min="781" max="781" width="8.7109375" style="1" customWidth="1"/>
    <col min="782" max="782" width="19.140625" style="1" customWidth="1"/>
    <col min="783" max="794" width="5.7109375" style="1" customWidth="1"/>
    <col min="795" max="795" width="10.5703125" style="1" customWidth="1"/>
    <col min="796" max="797" width="7.140625" style="1" customWidth="1"/>
    <col min="798" max="798" width="18.5703125" style="1" customWidth="1"/>
    <col min="799" max="803" width="5.7109375" style="1" customWidth="1"/>
    <col min="804" max="804" width="6.140625" style="1" customWidth="1"/>
    <col min="805" max="816" width="5.7109375" style="1" customWidth="1"/>
    <col min="817" max="817" width="6.42578125" style="1" customWidth="1"/>
    <col min="818" max="818" width="6.85546875" style="1" customWidth="1"/>
    <col min="819" max="819" width="9" style="1" customWidth="1"/>
    <col min="820" max="821" width="6.7109375" style="1" customWidth="1"/>
    <col min="822" max="822" width="19.85546875" style="1" customWidth="1"/>
    <col min="823" max="837" width="5.7109375" style="1" customWidth="1"/>
    <col min="838" max="838" width="6.28515625" style="1" customWidth="1"/>
    <col min="839" max="839" width="7.28515625" style="1" customWidth="1"/>
    <col min="840" max="852" width="5.7109375" style="1" customWidth="1"/>
    <col min="853" max="853" width="6.7109375" style="1" customWidth="1"/>
    <col min="854" max="854" width="6.85546875" style="1" customWidth="1"/>
    <col min="855" max="855" width="6.7109375" style="1" customWidth="1"/>
    <col min="856" max="856" width="6.28515625" style="1" customWidth="1"/>
    <col min="857" max="857" width="5.85546875" style="1" customWidth="1"/>
    <col min="858" max="858" width="7.7109375" style="1" customWidth="1"/>
    <col min="859" max="859" width="18.42578125" style="1" customWidth="1"/>
    <col min="860" max="1026" width="8.42578125" style="1"/>
    <col min="1027" max="1027" width="11.140625" style="1" customWidth="1"/>
    <col min="1028" max="1028" width="18.28515625" style="1" customWidth="1"/>
    <col min="1029" max="1030" width="10.140625" style="1" customWidth="1"/>
    <col min="1031" max="1035" width="8.7109375" style="1" customWidth="1"/>
    <col min="1036" max="1036" width="9.85546875" style="1" customWidth="1"/>
    <col min="1037" max="1037" width="8.7109375" style="1" customWidth="1"/>
    <col min="1038" max="1038" width="19.140625" style="1" customWidth="1"/>
    <col min="1039" max="1050" width="5.7109375" style="1" customWidth="1"/>
    <col min="1051" max="1051" width="10.5703125" style="1" customWidth="1"/>
    <col min="1052" max="1053" width="7.140625" style="1" customWidth="1"/>
    <col min="1054" max="1054" width="18.5703125" style="1" customWidth="1"/>
    <col min="1055" max="1059" width="5.7109375" style="1" customWidth="1"/>
    <col min="1060" max="1060" width="6.140625" style="1" customWidth="1"/>
    <col min="1061" max="1072" width="5.7109375" style="1" customWidth="1"/>
    <col min="1073" max="1073" width="6.42578125" style="1" customWidth="1"/>
    <col min="1074" max="1074" width="6.85546875" style="1" customWidth="1"/>
    <col min="1075" max="1075" width="9" style="1" customWidth="1"/>
    <col min="1076" max="1077" width="6.7109375" style="1" customWidth="1"/>
    <col min="1078" max="1078" width="19.85546875" style="1" customWidth="1"/>
    <col min="1079" max="1093" width="5.7109375" style="1" customWidth="1"/>
    <col min="1094" max="1094" width="6.28515625" style="1" customWidth="1"/>
    <col min="1095" max="1095" width="7.28515625" style="1" customWidth="1"/>
    <col min="1096" max="1108" width="5.7109375" style="1" customWidth="1"/>
    <col min="1109" max="1109" width="6.7109375" style="1" customWidth="1"/>
    <col min="1110" max="1110" width="6.85546875" style="1" customWidth="1"/>
    <col min="1111" max="1111" width="6.7109375" style="1" customWidth="1"/>
    <col min="1112" max="1112" width="6.28515625" style="1" customWidth="1"/>
    <col min="1113" max="1113" width="5.85546875" style="1" customWidth="1"/>
    <col min="1114" max="1114" width="7.7109375" style="1" customWidth="1"/>
    <col min="1115" max="1115" width="18.42578125" style="1" customWidth="1"/>
    <col min="1116" max="1282" width="8.42578125" style="1"/>
    <col min="1283" max="1283" width="11.140625" style="1" customWidth="1"/>
    <col min="1284" max="1284" width="18.28515625" style="1" customWidth="1"/>
    <col min="1285" max="1286" width="10.140625" style="1" customWidth="1"/>
    <col min="1287" max="1291" width="8.7109375" style="1" customWidth="1"/>
    <col min="1292" max="1292" width="9.85546875" style="1" customWidth="1"/>
    <col min="1293" max="1293" width="8.7109375" style="1" customWidth="1"/>
    <col min="1294" max="1294" width="19.140625" style="1" customWidth="1"/>
    <col min="1295" max="1306" width="5.7109375" style="1" customWidth="1"/>
    <col min="1307" max="1307" width="10.5703125" style="1" customWidth="1"/>
    <col min="1308" max="1309" width="7.140625" style="1" customWidth="1"/>
    <col min="1310" max="1310" width="18.5703125" style="1" customWidth="1"/>
    <col min="1311" max="1315" width="5.7109375" style="1" customWidth="1"/>
    <col min="1316" max="1316" width="6.140625" style="1" customWidth="1"/>
    <col min="1317" max="1328" width="5.7109375" style="1" customWidth="1"/>
    <col min="1329" max="1329" width="6.42578125" style="1" customWidth="1"/>
    <col min="1330" max="1330" width="6.85546875" style="1" customWidth="1"/>
    <col min="1331" max="1331" width="9" style="1" customWidth="1"/>
    <col min="1332" max="1333" width="6.7109375" style="1" customWidth="1"/>
    <col min="1334" max="1334" width="19.85546875" style="1" customWidth="1"/>
    <col min="1335" max="1349" width="5.7109375" style="1" customWidth="1"/>
    <col min="1350" max="1350" width="6.28515625" style="1" customWidth="1"/>
    <col min="1351" max="1351" width="7.28515625" style="1" customWidth="1"/>
    <col min="1352" max="1364" width="5.7109375" style="1" customWidth="1"/>
    <col min="1365" max="1365" width="6.7109375" style="1" customWidth="1"/>
    <col min="1366" max="1366" width="6.85546875" style="1" customWidth="1"/>
    <col min="1367" max="1367" width="6.7109375" style="1" customWidth="1"/>
    <col min="1368" max="1368" width="6.28515625" style="1" customWidth="1"/>
    <col min="1369" max="1369" width="5.85546875" style="1" customWidth="1"/>
    <col min="1370" max="1370" width="7.7109375" style="1" customWidth="1"/>
    <col min="1371" max="1371" width="18.42578125" style="1" customWidth="1"/>
    <col min="1372" max="1538" width="8.42578125" style="1"/>
    <col min="1539" max="1539" width="11.140625" style="1" customWidth="1"/>
    <col min="1540" max="1540" width="18.28515625" style="1" customWidth="1"/>
    <col min="1541" max="1542" width="10.140625" style="1" customWidth="1"/>
    <col min="1543" max="1547" width="8.7109375" style="1" customWidth="1"/>
    <col min="1548" max="1548" width="9.85546875" style="1" customWidth="1"/>
    <col min="1549" max="1549" width="8.7109375" style="1" customWidth="1"/>
    <col min="1550" max="1550" width="19.140625" style="1" customWidth="1"/>
    <col min="1551" max="1562" width="5.7109375" style="1" customWidth="1"/>
    <col min="1563" max="1563" width="10.5703125" style="1" customWidth="1"/>
    <col min="1564" max="1565" width="7.140625" style="1" customWidth="1"/>
    <col min="1566" max="1566" width="18.5703125" style="1" customWidth="1"/>
    <col min="1567" max="1571" width="5.7109375" style="1" customWidth="1"/>
    <col min="1572" max="1572" width="6.140625" style="1" customWidth="1"/>
    <col min="1573" max="1584" width="5.7109375" style="1" customWidth="1"/>
    <col min="1585" max="1585" width="6.42578125" style="1" customWidth="1"/>
    <col min="1586" max="1586" width="6.85546875" style="1" customWidth="1"/>
    <col min="1587" max="1587" width="9" style="1" customWidth="1"/>
    <col min="1588" max="1589" width="6.7109375" style="1" customWidth="1"/>
    <col min="1590" max="1590" width="19.85546875" style="1" customWidth="1"/>
    <col min="1591" max="1605" width="5.7109375" style="1" customWidth="1"/>
    <col min="1606" max="1606" width="6.28515625" style="1" customWidth="1"/>
    <col min="1607" max="1607" width="7.28515625" style="1" customWidth="1"/>
    <col min="1608" max="1620" width="5.7109375" style="1" customWidth="1"/>
    <col min="1621" max="1621" width="6.7109375" style="1" customWidth="1"/>
    <col min="1622" max="1622" width="6.85546875" style="1" customWidth="1"/>
    <col min="1623" max="1623" width="6.7109375" style="1" customWidth="1"/>
    <col min="1624" max="1624" width="6.28515625" style="1" customWidth="1"/>
    <col min="1625" max="1625" width="5.85546875" style="1" customWidth="1"/>
    <col min="1626" max="1626" width="7.7109375" style="1" customWidth="1"/>
    <col min="1627" max="1627" width="18.42578125" style="1" customWidth="1"/>
    <col min="1628" max="1794" width="8.42578125" style="1"/>
    <col min="1795" max="1795" width="11.140625" style="1" customWidth="1"/>
    <col min="1796" max="1796" width="18.28515625" style="1" customWidth="1"/>
    <col min="1797" max="1798" width="10.140625" style="1" customWidth="1"/>
    <col min="1799" max="1803" width="8.7109375" style="1" customWidth="1"/>
    <col min="1804" max="1804" width="9.85546875" style="1" customWidth="1"/>
    <col min="1805" max="1805" width="8.7109375" style="1" customWidth="1"/>
    <col min="1806" max="1806" width="19.140625" style="1" customWidth="1"/>
    <col min="1807" max="1818" width="5.7109375" style="1" customWidth="1"/>
    <col min="1819" max="1819" width="10.5703125" style="1" customWidth="1"/>
    <col min="1820" max="1821" width="7.140625" style="1" customWidth="1"/>
    <col min="1822" max="1822" width="18.5703125" style="1" customWidth="1"/>
    <col min="1823" max="1827" width="5.7109375" style="1" customWidth="1"/>
    <col min="1828" max="1828" width="6.140625" style="1" customWidth="1"/>
    <col min="1829" max="1840" width="5.7109375" style="1" customWidth="1"/>
    <col min="1841" max="1841" width="6.42578125" style="1" customWidth="1"/>
    <col min="1842" max="1842" width="6.85546875" style="1" customWidth="1"/>
    <col min="1843" max="1843" width="9" style="1" customWidth="1"/>
    <col min="1844" max="1845" width="6.7109375" style="1" customWidth="1"/>
    <col min="1846" max="1846" width="19.85546875" style="1" customWidth="1"/>
    <col min="1847" max="1861" width="5.7109375" style="1" customWidth="1"/>
    <col min="1862" max="1862" width="6.28515625" style="1" customWidth="1"/>
    <col min="1863" max="1863" width="7.28515625" style="1" customWidth="1"/>
    <col min="1864" max="1876" width="5.7109375" style="1" customWidth="1"/>
    <col min="1877" max="1877" width="6.7109375" style="1" customWidth="1"/>
    <col min="1878" max="1878" width="6.85546875" style="1" customWidth="1"/>
    <col min="1879" max="1879" width="6.7109375" style="1" customWidth="1"/>
    <col min="1880" max="1880" width="6.28515625" style="1" customWidth="1"/>
    <col min="1881" max="1881" width="5.85546875" style="1" customWidth="1"/>
    <col min="1882" max="1882" width="7.7109375" style="1" customWidth="1"/>
    <col min="1883" max="1883" width="18.42578125" style="1" customWidth="1"/>
    <col min="1884" max="2050" width="8.42578125" style="1"/>
    <col min="2051" max="2051" width="11.140625" style="1" customWidth="1"/>
    <col min="2052" max="2052" width="18.28515625" style="1" customWidth="1"/>
    <col min="2053" max="2054" width="10.140625" style="1" customWidth="1"/>
    <col min="2055" max="2059" width="8.7109375" style="1" customWidth="1"/>
    <col min="2060" max="2060" width="9.85546875" style="1" customWidth="1"/>
    <col min="2061" max="2061" width="8.7109375" style="1" customWidth="1"/>
    <col min="2062" max="2062" width="19.140625" style="1" customWidth="1"/>
    <col min="2063" max="2074" width="5.7109375" style="1" customWidth="1"/>
    <col min="2075" max="2075" width="10.5703125" style="1" customWidth="1"/>
    <col min="2076" max="2077" width="7.140625" style="1" customWidth="1"/>
    <col min="2078" max="2078" width="18.5703125" style="1" customWidth="1"/>
    <col min="2079" max="2083" width="5.7109375" style="1" customWidth="1"/>
    <col min="2084" max="2084" width="6.140625" style="1" customWidth="1"/>
    <col min="2085" max="2096" width="5.7109375" style="1" customWidth="1"/>
    <col min="2097" max="2097" width="6.42578125" style="1" customWidth="1"/>
    <col min="2098" max="2098" width="6.85546875" style="1" customWidth="1"/>
    <col min="2099" max="2099" width="9" style="1" customWidth="1"/>
    <col min="2100" max="2101" width="6.7109375" style="1" customWidth="1"/>
    <col min="2102" max="2102" width="19.85546875" style="1" customWidth="1"/>
    <col min="2103" max="2117" width="5.7109375" style="1" customWidth="1"/>
    <col min="2118" max="2118" width="6.28515625" style="1" customWidth="1"/>
    <col min="2119" max="2119" width="7.28515625" style="1" customWidth="1"/>
    <col min="2120" max="2132" width="5.7109375" style="1" customWidth="1"/>
    <col min="2133" max="2133" width="6.7109375" style="1" customWidth="1"/>
    <col min="2134" max="2134" width="6.85546875" style="1" customWidth="1"/>
    <col min="2135" max="2135" width="6.7109375" style="1" customWidth="1"/>
    <col min="2136" max="2136" width="6.28515625" style="1" customWidth="1"/>
    <col min="2137" max="2137" width="5.85546875" style="1" customWidth="1"/>
    <col min="2138" max="2138" width="7.7109375" style="1" customWidth="1"/>
    <col min="2139" max="2139" width="18.42578125" style="1" customWidth="1"/>
    <col min="2140" max="2306" width="8.42578125" style="1"/>
    <col min="2307" max="2307" width="11.140625" style="1" customWidth="1"/>
    <col min="2308" max="2308" width="18.28515625" style="1" customWidth="1"/>
    <col min="2309" max="2310" width="10.140625" style="1" customWidth="1"/>
    <col min="2311" max="2315" width="8.7109375" style="1" customWidth="1"/>
    <col min="2316" max="2316" width="9.85546875" style="1" customWidth="1"/>
    <col min="2317" max="2317" width="8.7109375" style="1" customWidth="1"/>
    <col min="2318" max="2318" width="19.140625" style="1" customWidth="1"/>
    <col min="2319" max="2330" width="5.7109375" style="1" customWidth="1"/>
    <col min="2331" max="2331" width="10.5703125" style="1" customWidth="1"/>
    <col min="2332" max="2333" width="7.140625" style="1" customWidth="1"/>
    <col min="2334" max="2334" width="18.5703125" style="1" customWidth="1"/>
    <col min="2335" max="2339" width="5.7109375" style="1" customWidth="1"/>
    <col min="2340" max="2340" width="6.140625" style="1" customWidth="1"/>
    <col min="2341" max="2352" width="5.7109375" style="1" customWidth="1"/>
    <col min="2353" max="2353" width="6.42578125" style="1" customWidth="1"/>
    <col min="2354" max="2354" width="6.85546875" style="1" customWidth="1"/>
    <col min="2355" max="2355" width="9" style="1" customWidth="1"/>
    <col min="2356" max="2357" width="6.7109375" style="1" customWidth="1"/>
    <col min="2358" max="2358" width="19.85546875" style="1" customWidth="1"/>
    <col min="2359" max="2373" width="5.7109375" style="1" customWidth="1"/>
    <col min="2374" max="2374" width="6.28515625" style="1" customWidth="1"/>
    <col min="2375" max="2375" width="7.28515625" style="1" customWidth="1"/>
    <col min="2376" max="2388" width="5.7109375" style="1" customWidth="1"/>
    <col min="2389" max="2389" width="6.7109375" style="1" customWidth="1"/>
    <col min="2390" max="2390" width="6.85546875" style="1" customWidth="1"/>
    <col min="2391" max="2391" width="6.7109375" style="1" customWidth="1"/>
    <col min="2392" max="2392" width="6.28515625" style="1" customWidth="1"/>
    <col min="2393" max="2393" width="5.85546875" style="1" customWidth="1"/>
    <col min="2394" max="2394" width="7.7109375" style="1" customWidth="1"/>
    <col min="2395" max="2395" width="18.42578125" style="1" customWidth="1"/>
    <col min="2396" max="2562" width="8.42578125" style="1"/>
    <col min="2563" max="2563" width="11.140625" style="1" customWidth="1"/>
    <col min="2564" max="2564" width="18.28515625" style="1" customWidth="1"/>
    <col min="2565" max="2566" width="10.140625" style="1" customWidth="1"/>
    <col min="2567" max="2571" width="8.7109375" style="1" customWidth="1"/>
    <col min="2572" max="2572" width="9.85546875" style="1" customWidth="1"/>
    <col min="2573" max="2573" width="8.7109375" style="1" customWidth="1"/>
    <col min="2574" max="2574" width="19.140625" style="1" customWidth="1"/>
    <col min="2575" max="2586" width="5.7109375" style="1" customWidth="1"/>
    <col min="2587" max="2587" width="10.5703125" style="1" customWidth="1"/>
    <col min="2588" max="2589" width="7.140625" style="1" customWidth="1"/>
    <col min="2590" max="2590" width="18.5703125" style="1" customWidth="1"/>
    <col min="2591" max="2595" width="5.7109375" style="1" customWidth="1"/>
    <col min="2596" max="2596" width="6.140625" style="1" customWidth="1"/>
    <col min="2597" max="2608" width="5.7109375" style="1" customWidth="1"/>
    <col min="2609" max="2609" width="6.42578125" style="1" customWidth="1"/>
    <col min="2610" max="2610" width="6.85546875" style="1" customWidth="1"/>
    <col min="2611" max="2611" width="9" style="1" customWidth="1"/>
    <col min="2612" max="2613" width="6.7109375" style="1" customWidth="1"/>
    <col min="2614" max="2614" width="19.85546875" style="1" customWidth="1"/>
    <col min="2615" max="2629" width="5.7109375" style="1" customWidth="1"/>
    <col min="2630" max="2630" width="6.28515625" style="1" customWidth="1"/>
    <col min="2631" max="2631" width="7.28515625" style="1" customWidth="1"/>
    <col min="2632" max="2644" width="5.7109375" style="1" customWidth="1"/>
    <col min="2645" max="2645" width="6.7109375" style="1" customWidth="1"/>
    <col min="2646" max="2646" width="6.85546875" style="1" customWidth="1"/>
    <col min="2647" max="2647" width="6.7109375" style="1" customWidth="1"/>
    <col min="2648" max="2648" width="6.28515625" style="1" customWidth="1"/>
    <col min="2649" max="2649" width="5.85546875" style="1" customWidth="1"/>
    <col min="2650" max="2650" width="7.7109375" style="1" customWidth="1"/>
    <col min="2651" max="2651" width="18.42578125" style="1" customWidth="1"/>
    <col min="2652" max="2818" width="8.42578125" style="1"/>
    <col min="2819" max="2819" width="11.140625" style="1" customWidth="1"/>
    <col min="2820" max="2820" width="18.28515625" style="1" customWidth="1"/>
    <col min="2821" max="2822" width="10.140625" style="1" customWidth="1"/>
    <col min="2823" max="2827" width="8.7109375" style="1" customWidth="1"/>
    <col min="2828" max="2828" width="9.85546875" style="1" customWidth="1"/>
    <col min="2829" max="2829" width="8.7109375" style="1" customWidth="1"/>
    <col min="2830" max="2830" width="19.140625" style="1" customWidth="1"/>
    <col min="2831" max="2842" width="5.7109375" style="1" customWidth="1"/>
    <col min="2843" max="2843" width="10.5703125" style="1" customWidth="1"/>
    <col min="2844" max="2845" width="7.140625" style="1" customWidth="1"/>
    <col min="2846" max="2846" width="18.5703125" style="1" customWidth="1"/>
    <col min="2847" max="2851" width="5.7109375" style="1" customWidth="1"/>
    <col min="2852" max="2852" width="6.140625" style="1" customWidth="1"/>
    <col min="2853" max="2864" width="5.7109375" style="1" customWidth="1"/>
    <col min="2865" max="2865" width="6.42578125" style="1" customWidth="1"/>
    <col min="2866" max="2866" width="6.85546875" style="1" customWidth="1"/>
    <col min="2867" max="2867" width="9" style="1" customWidth="1"/>
    <col min="2868" max="2869" width="6.7109375" style="1" customWidth="1"/>
    <col min="2870" max="2870" width="19.85546875" style="1" customWidth="1"/>
    <col min="2871" max="2885" width="5.7109375" style="1" customWidth="1"/>
    <col min="2886" max="2886" width="6.28515625" style="1" customWidth="1"/>
    <col min="2887" max="2887" width="7.28515625" style="1" customWidth="1"/>
    <col min="2888" max="2900" width="5.7109375" style="1" customWidth="1"/>
    <col min="2901" max="2901" width="6.7109375" style="1" customWidth="1"/>
    <col min="2902" max="2902" width="6.85546875" style="1" customWidth="1"/>
    <col min="2903" max="2903" width="6.7109375" style="1" customWidth="1"/>
    <col min="2904" max="2904" width="6.28515625" style="1" customWidth="1"/>
    <col min="2905" max="2905" width="5.85546875" style="1" customWidth="1"/>
    <col min="2906" max="2906" width="7.7109375" style="1" customWidth="1"/>
    <col min="2907" max="2907" width="18.42578125" style="1" customWidth="1"/>
    <col min="2908" max="3074" width="8.42578125" style="1"/>
    <col min="3075" max="3075" width="11.140625" style="1" customWidth="1"/>
    <col min="3076" max="3076" width="18.28515625" style="1" customWidth="1"/>
    <col min="3077" max="3078" width="10.140625" style="1" customWidth="1"/>
    <col min="3079" max="3083" width="8.7109375" style="1" customWidth="1"/>
    <col min="3084" max="3084" width="9.85546875" style="1" customWidth="1"/>
    <col min="3085" max="3085" width="8.7109375" style="1" customWidth="1"/>
    <col min="3086" max="3086" width="19.140625" style="1" customWidth="1"/>
    <col min="3087" max="3098" width="5.7109375" style="1" customWidth="1"/>
    <col min="3099" max="3099" width="10.5703125" style="1" customWidth="1"/>
    <col min="3100" max="3101" width="7.140625" style="1" customWidth="1"/>
    <col min="3102" max="3102" width="18.5703125" style="1" customWidth="1"/>
    <col min="3103" max="3107" width="5.7109375" style="1" customWidth="1"/>
    <col min="3108" max="3108" width="6.140625" style="1" customWidth="1"/>
    <col min="3109" max="3120" width="5.7109375" style="1" customWidth="1"/>
    <col min="3121" max="3121" width="6.42578125" style="1" customWidth="1"/>
    <col min="3122" max="3122" width="6.85546875" style="1" customWidth="1"/>
    <col min="3123" max="3123" width="9" style="1" customWidth="1"/>
    <col min="3124" max="3125" width="6.7109375" style="1" customWidth="1"/>
    <col min="3126" max="3126" width="19.85546875" style="1" customWidth="1"/>
    <col min="3127" max="3141" width="5.7109375" style="1" customWidth="1"/>
    <col min="3142" max="3142" width="6.28515625" style="1" customWidth="1"/>
    <col min="3143" max="3143" width="7.28515625" style="1" customWidth="1"/>
    <col min="3144" max="3156" width="5.7109375" style="1" customWidth="1"/>
    <col min="3157" max="3157" width="6.7109375" style="1" customWidth="1"/>
    <col min="3158" max="3158" width="6.85546875" style="1" customWidth="1"/>
    <col min="3159" max="3159" width="6.7109375" style="1" customWidth="1"/>
    <col min="3160" max="3160" width="6.28515625" style="1" customWidth="1"/>
    <col min="3161" max="3161" width="5.85546875" style="1" customWidth="1"/>
    <col min="3162" max="3162" width="7.7109375" style="1" customWidth="1"/>
    <col min="3163" max="3163" width="18.42578125" style="1" customWidth="1"/>
    <col min="3164" max="3330" width="8.42578125" style="1"/>
    <col min="3331" max="3331" width="11.140625" style="1" customWidth="1"/>
    <col min="3332" max="3332" width="18.28515625" style="1" customWidth="1"/>
    <col min="3333" max="3334" width="10.140625" style="1" customWidth="1"/>
    <col min="3335" max="3339" width="8.7109375" style="1" customWidth="1"/>
    <col min="3340" max="3340" width="9.85546875" style="1" customWidth="1"/>
    <col min="3341" max="3341" width="8.7109375" style="1" customWidth="1"/>
    <col min="3342" max="3342" width="19.140625" style="1" customWidth="1"/>
    <col min="3343" max="3354" width="5.7109375" style="1" customWidth="1"/>
    <col min="3355" max="3355" width="10.5703125" style="1" customWidth="1"/>
    <col min="3356" max="3357" width="7.140625" style="1" customWidth="1"/>
    <col min="3358" max="3358" width="18.5703125" style="1" customWidth="1"/>
    <col min="3359" max="3363" width="5.7109375" style="1" customWidth="1"/>
    <col min="3364" max="3364" width="6.140625" style="1" customWidth="1"/>
    <col min="3365" max="3376" width="5.7109375" style="1" customWidth="1"/>
    <col min="3377" max="3377" width="6.42578125" style="1" customWidth="1"/>
    <col min="3378" max="3378" width="6.85546875" style="1" customWidth="1"/>
    <col min="3379" max="3379" width="9" style="1" customWidth="1"/>
    <col min="3380" max="3381" width="6.7109375" style="1" customWidth="1"/>
    <col min="3382" max="3382" width="19.85546875" style="1" customWidth="1"/>
    <col min="3383" max="3397" width="5.7109375" style="1" customWidth="1"/>
    <col min="3398" max="3398" width="6.28515625" style="1" customWidth="1"/>
    <col min="3399" max="3399" width="7.28515625" style="1" customWidth="1"/>
    <col min="3400" max="3412" width="5.7109375" style="1" customWidth="1"/>
    <col min="3413" max="3413" width="6.7109375" style="1" customWidth="1"/>
    <col min="3414" max="3414" width="6.85546875" style="1" customWidth="1"/>
    <col min="3415" max="3415" width="6.7109375" style="1" customWidth="1"/>
    <col min="3416" max="3416" width="6.28515625" style="1" customWidth="1"/>
    <col min="3417" max="3417" width="5.85546875" style="1" customWidth="1"/>
    <col min="3418" max="3418" width="7.7109375" style="1" customWidth="1"/>
    <col min="3419" max="3419" width="18.42578125" style="1" customWidth="1"/>
    <col min="3420" max="3586" width="8.42578125" style="1"/>
    <col min="3587" max="3587" width="11.140625" style="1" customWidth="1"/>
    <col min="3588" max="3588" width="18.28515625" style="1" customWidth="1"/>
    <col min="3589" max="3590" width="10.140625" style="1" customWidth="1"/>
    <col min="3591" max="3595" width="8.7109375" style="1" customWidth="1"/>
    <col min="3596" max="3596" width="9.85546875" style="1" customWidth="1"/>
    <col min="3597" max="3597" width="8.7109375" style="1" customWidth="1"/>
    <col min="3598" max="3598" width="19.140625" style="1" customWidth="1"/>
    <col min="3599" max="3610" width="5.7109375" style="1" customWidth="1"/>
    <col min="3611" max="3611" width="10.5703125" style="1" customWidth="1"/>
    <col min="3612" max="3613" width="7.140625" style="1" customWidth="1"/>
    <col min="3614" max="3614" width="18.5703125" style="1" customWidth="1"/>
    <col min="3615" max="3619" width="5.7109375" style="1" customWidth="1"/>
    <col min="3620" max="3620" width="6.140625" style="1" customWidth="1"/>
    <col min="3621" max="3632" width="5.7109375" style="1" customWidth="1"/>
    <col min="3633" max="3633" width="6.42578125" style="1" customWidth="1"/>
    <col min="3634" max="3634" width="6.85546875" style="1" customWidth="1"/>
    <col min="3635" max="3635" width="9" style="1" customWidth="1"/>
    <col min="3636" max="3637" width="6.7109375" style="1" customWidth="1"/>
    <col min="3638" max="3638" width="19.85546875" style="1" customWidth="1"/>
    <col min="3639" max="3653" width="5.7109375" style="1" customWidth="1"/>
    <col min="3654" max="3654" width="6.28515625" style="1" customWidth="1"/>
    <col min="3655" max="3655" width="7.28515625" style="1" customWidth="1"/>
    <col min="3656" max="3668" width="5.7109375" style="1" customWidth="1"/>
    <col min="3669" max="3669" width="6.7109375" style="1" customWidth="1"/>
    <col min="3670" max="3670" width="6.85546875" style="1" customWidth="1"/>
    <col min="3671" max="3671" width="6.7109375" style="1" customWidth="1"/>
    <col min="3672" max="3672" width="6.28515625" style="1" customWidth="1"/>
    <col min="3673" max="3673" width="5.85546875" style="1" customWidth="1"/>
    <col min="3674" max="3674" width="7.7109375" style="1" customWidth="1"/>
    <col min="3675" max="3675" width="18.42578125" style="1" customWidth="1"/>
    <col min="3676" max="3842" width="8.42578125" style="1"/>
    <col min="3843" max="3843" width="11.140625" style="1" customWidth="1"/>
    <col min="3844" max="3844" width="18.28515625" style="1" customWidth="1"/>
    <col min="3845" max="3846" width="10.140625" style="1" customWidth="1"/>
    <col min="3847" max="3851" width="8.7109375" style="1" customWidth="1"/>
    <col min="3852" max="3852" width="9.85546875" style="1" customWidth="1"/>
    <col min="3853" max="3853" width="8.7109375" style="1" customWidth="1"/>
    <col min="3854" max="3854" width="19.140625" style="1" customWidth="1"/>
    <col min="3855" max="3866" width="5.7109375" style="1" customWidth="1"/>
    <col min="3867" max="3867" width="10.5703125" style="1" customWidth="1"/>
    <col min="3868" max="3869" width="7.140625" style="1" customWidth="1"/>
    <col min="3870" max="3870" width="18.5703125" style="1" customWidth="1"/>
    <col min="3871" max="3875" width="5.7109375" style="1" customWidth="1"/>
    <col min="3876" max="3876" width="6.140625" style="1" customWidth="1"/>
    <col min="3877" max="3888" width="5.7109375" style="1" customWidth="1"/>
    <col min="3889" max="3889" width="6.42578125" style="1" customWidth="1"/>
    <col min="3890" max="3890" width="6.85546875" style="1" customWidth="1"/>
    <col min="3891" max="3891" width="9" style="1" customWidth="1"/>
    <col min="3892" max="3893" width="6.7109375" style="1" customWidth="1"/>
    <col min="3894" max="3894" width="19.85546875" style="1" customWidth="1"/>
    <col min="3895" max="3909" width="5.7109375" style="1" customWidth="1"/>
    <col min="3910" max="3910" width="6.28515625" style="1" customWidth="1"/>
    <col min="3911" max="3911" width="7.28515625" style="1" customWidth="1"/>
    <col min="3912" max="3924" width="5.7109375" style="1" customWidth="1"/>
    <col min="3925" max="3925" width="6.7109375" style="1" customWidth="1"/>
    <col min="3926" max="3926" width="6.85546875" style="1" customWidth="1"/>
    <col min="3927" max="3927" width="6.7109375" style="1" customWidth="1"/>
    <col min="3928" max="3928" width="6.28515625" style="1" customWidth="1"/>
    <col min="3929" max="3929" width="5.85546875" style="1" customWidth="1"/>
    <col min="3930" max="3930" width="7.7109375" style="1" customWidth="1"/>
    <col min="3931" max="3931" width="18.42578125" style="1" customWidth="1"/>
    <col min="3932" max="4098" width="8.42578125" style="1"/>
    <col min="4099" max="4099" width="11.140625" style="1" customWidth="1"/>
    <col min="4100" max="4100" width="18.28515625" style="1" customWidth="1"/>
    <col min="4101" max="4102" width="10.140625" style="1" customWidth="1"/>
    <col min="4103" max="4107" width="8.7109375" style="1" customWidth="1"/>
    <col min="4108" max="4108" width="9.85546875" style="1" customWidth="1"/>
    <col min="4109" max="4109" width="8.7109375" style="1" customWidth="1"/>
    <col min="4110" max="4110" width="19.140625" style="1" customWidth="1"/>
    <col min="4111" max="4122" width="5.7109375" style="1" customWidth="1"/>
    <col min="4123" max="4123" width="10.5703125" style="1" customWidth="1"/>
    <col min="4124" max="4125" width="7.140625" style="1" customWidth="1"/>
    <col min="4126" max="4126" width="18.5703125" style="1" customWidth="1"/>
    <col min="4127" max="4131" width="5.7109375" style="1" customWidth="1"/>
    <col min="4132" max="4132" width="6.140625" style="1" customWidth="1"/>
    <col min="4133" max="4144" width="5.7109375" style="1" customWidth="1"/>
    <col min="4145" max="4145" width="6.42578125" style="1" customWidth="1"/>
    <col min="4146" max="4146" width="6.85546875" style="1" customWidth="1"/>
    <col min="4147" max="4147" width="9" style="1" customWidth="1"/>
    <col min="4148" max="4149" width="6.7109375" style="1" customWidth="1"/>
    <col min="4150" max="4150" width="19.85546875" style="1" customWidth="1"/>
    <col min="4151" max="4165" width="5.7109375" style="1" customWidth="1"/>
    <col min="4166" max="4166" width="6.28515625" style="1" customWidth="1"/>
    <col min="4167" max="4167" width="7.28515625" style="1" customWidth="1"/>
    <col min="4168" max="4180" width="5.7109375" style="1" customWidth="1"/>
    <col min="4181" max="4181" width="6.7109375" style="1" customWidth="1"/>
    <col min="4182" max="4182" width="6.85546875" style="1" customWidth="1"/>
    <col min="4183" max="4183" width="6.7109375" style="1" customWidth="1"/>
    <col min="4184" max="4184" width="6.28515625" style="1" customWidth="1"/>
    <col min="4185" max="4185" width="5.85546875" style="1" customWidth="1"/>
    <col min="4186" max="4186" width="7.7109375" style="1" customWidth="1"/>
    <col min="4187" max="4187" width="18.42578125" style="1" customWidth="1"/>
    <col min="4188" max="4354" width="8.42578125" style="1"/>
    <col min="4355" max="4355" width="11.140625" style="1" customWidth="1"/>
    <col min="4356" max="4356" width="18.28515625" style="1" customWidth="1"/>
    <col min="4357" max="4358" width="10.140625" style="1" customWidth="1"/>
    <col min="4359" max="4363" width="8.7109375" style="1" customWidth="1"/>
    <col min="4364" max="4364" width="9.85546875" style="1" customWidth="1"/>
    <col min="4365" max="4365" width="8.7109375" style="1" customWidth="1"/>
    <col min="4366" max="4366" width="19.140625" style="1" customWidth="1"/>
    <col min="4367" max="4378" width="5.7109375" style="1" customWidth="1"/>
    <col min="4379" max="4379" width="10.5703125" style="1" customWidth="1"/>
    <col min="4380" max="4381" width="7.140625" style="1" customWidth="1"/>
    <col min="4382" max="4382" width="18.5703125" style="1" customWidth="1"/>
    <col min="4383" max="4387" width="5.7109375" style="1" customWidth="1"/>
    <col min="4388" max="4388" width="6.140625" style="1" customWidth="1"/>
    <col min="4389" max="4400" width="5.7109375" style="1" customWidth="1"/>
    <col min="4401" max="4401" width="6.42578125" style="1" customWidth="1"/>
    <col min="4402" max="4402" width="6.85546875" style="1" customWidth="1"/>
    <col min="4403" max="4403" width="9" style="1" customWidth="1"/>
    <col min="4404" max="4405" width="6.7109375" style="1" customWidth="1"/>
    <col min="4406" max="4406" width="19.85546875" style="1" customWidth="1"/>
    <col min="4407" max="4421" width="5.7109375" style="1" customWidth="1"/>
    <col min="4422" max="4422" width="6.28515625" style="1" customWidth="1"/>
    <col min="4423" max="4423" width="7.28515625" style="1" customWidth="1"/>
    <col min="4424" max="4436" width="5.7109375" style="1" customWidth="1"/>
    <col min="4437" max="4437" width="6.7109375" style="1" customWidth="1"/>
    <col min="4438" max="4438" width="6.85546875" style="1" customWidth="1"/>
    <col min="4439" max="4439" width="6.7109375" style="1" customWidth="1"/>
    <col min="4440" max="4440" width="6.28515625" style="1" customWidth="1"/>
    <col min="4441" max="4441" width="5.85546875" style="1" customWidth="1"/>
    <col min="4442" max="4442" width="7.7109375" style="1" customWidth="1"/>
    <col min="4443" max="4443" width="18.42578125" style="1" customWidth="1"/>
    <col min="4444" max="4610" width="8.42578125" style="1"/>
    <col min="4611" max="4611" width="11.140625" style="1" customWidth="1"/>
    <col min="4612" max="4612" width="18.28515625" style="1" customWidth="1"/>
    <col min="4613" max="4614" width="10.140625" style="1" customWidth="1"/>
    <col min="4615" max="4619" width="8.7109375" style="1" customWidth="1"/>
    <col min="4620" max="4620" width="9.85546875" style="1" customWidth="1"/>
    <col min="4621" max="4621" width="8.7109375" style="1" customWidth="1"/>
    <col min="4622" max="4622" width="19.140625" style="1" customWidth="1"/>
    <col min="4623" max="4634" width="5.7109375" style="1" customWidth="1"/>
    <col min="4635" max="4635" width="10.5703125" style="1" customWidth="1"/>
    <col min="4636" max="4637" width="7.140625" style="1" customWidth="1"/>
    <col min="4638" max="4638" width="18.5703125" style="1" customWidth="1"/>
    <col min="4639" max="4643" width="5.7109375" style="1" customWidth="1"/>
    <col min="4644" max="4644" width="6.140625" style="1" customWidth="1"/>
    <col min="4645" max="4656" width="5.7109375" style="1" customWidth="1"/>
    <col min="4657" max="4657" width="6.42578125" style="1" customWidth="1"/>
    <col min="4658" max="4658" width="6.85546875" style="1" customWidth="1"/>
    <col min="4659" max="4659" width="9" style="1" customWidth="1"/>
    <col min="4660" max="4661" width="6.7109375" style="1" customWidth="1"/>
    <col min="4662" max="4662" width="19.85546875" style="1" customWidth="1"/>
    <col min="4663" max="4677" width="5.7109375" style="1" customWidth="1"/>
    <col min="4678" max="4678" width="6.28515625" style="1" customWidth="1"/>
    <col min="4679" max="4679" width="7.28515625" style="1" customWidth="1"/>
    <col min="4680" max="4692" width="5.7109375" style="1" customWidth="1"/>
    <col min="4693" max="4693" width="6.7109375" style="1" customWidth="1"/>
    <col min="4694" max="4694" width="6.85546875" style="1" customWidth="1"/>
    <col min="4695" max="4695" width="6.7109375" style="1" customWidth="1"/>
    <col min="4696" max="4696" width="6.28515625" style="1" customWidth="1"/>
    <col min="4697" max="4697" width="5.85546875" style="1" customWidth="1"/>
    <col min="4698" max="4698" width="7.7109375" style="1" customWidth="1"/>
    <col min="4699" max="4699" width="18.42578125" style="1" customWidth="1"/>
    <col min="4700" max="4866" width="8.42578125" style="1"/>
    <col min="4867" max="4867" width="11.140625" style="1" customWidth="1"/>
    <col min="4868" max="4868" width="18.28515625" style="1" customWidth="1"/>
    <col min="4869" max="4870" width="10.140625" style="1" customWidth="1"/>
    <col min="4871" max="4875" width="8.7109375" style="1" customWidth="1"/>
    <col min="4876" max="4876" width="9.85546875" style="1" customWidth="1"/>
    <col min="4877" max="4877" width="8.7109375" style="1" customWidth="1"/>
    <col min="4878" max="4878" width="19.140625" style="1" customWidth="1"/>
    <col min="4879" max="4890" width="5.7109375" style="1" customWidth="1"/>
    <col min="4891" max="4891" width="10.5703125" style="1" customWidth="1"/>
    <col min="4892" max="4893" width="7.140625" style="1" customWidth="1"/>
    <col min="4894" max="4894" width="18.5703125" style="1" customWidth="1"/>
    <col min="4895" max="4899" width="5.7109375" style="1" customWidth="1"/>
    <col min="4900" max="4900" width="6.140625" style="1" customWidth="1"/>
    <col min="4901" max="4912" width="5.7109375" style="1" customWidth="1"/>
    <col min="4913" max="4913" width="6.42578125" style="1" customWidth="1"/>
    <col min="4914" max="4914" width="6.85546875" style="1" customWidth="1"/>
    <col min="4915" max="4915" width="9" style="1" customWidth="1"/>
    <col min="4916" max="4917" width="6.7109375" style="1" customWidth="1"/>
    <col min="4918" max="4918" width="19.85546875" style="1" customWidth="1"/>
    <col min="4919" max="4933" width="5.7109375" style="1" customWidth="1"/>
    <col min="4934" max="4934" width="6.28515625" style="1" customWidth="1"/>
    <col min="4935" max="4935" width="7.28515625" style="1" customWidth="1"/>
    <col min="4936" max="4948" width="5.7109375" style="1" customWidth="1"/>
    <col min="4949" max="4949" width="6.7109375" style="1" customWidth="1"/>
    <col min="4950" max="4950" width="6.85546875" style="1" customWidth="1"/>
    <col min="4951" max="4951" width="6.7109375" style="1" customWidth="1"/>
    <col min="4952" max="4952" width="6.28515625" style="1" customWidth="1"/>
    <col min="4953" max="4953" width="5.85546875" style="1" customWidth="1"/>
    <col min="4954" max="4954" width="7.7109375" style="1" customWidth="1"/>
    <col min="4955" max="4955" width="18.42578125" style="1" customWidth="1"/>
    <col min="4956" max="5122" width="8.42578125" style="1"/>
    <col min="5123" max="5123" width="11.140625" style="1" customWidth="1"/>
    <col min="5124" max="5124" width="18.28515625" style="1" customWidth="1"/>
    <col min="5125" max="5126" width="10.140625" style="1" customWidth="1"/>
    <col min="5127" max="5131" width="8.7109375" style="1" customWidth="1"/>
    <col min="5132" max="5132" width="9.85546875" style="1" customWidth="1"/>
    <col min="5133" max="5133" width="8.7109375" style="1" customWidth="1"/>
    <col min="5134" max="5134" width="19.140625" style="1" customWidth="1"/>
    <col min="5135" max="5146" width="5.7109375" style="1" customWidth="1"/>
    <col min="5147" max="5147" width="10.5703125" style="1" customWidth="1"/>
    <col min="5148" max="5149" width="7.140625" style="1" customWidth="1"/>
    <col min="5150" max="5150" width="18.5703125" style="1" customWidth="1"/>
    <col min="5151" max="5155" width="5.7109375" style="1" customWidth="1"/>
    <col min="5156" max="5156" width="6.140625" style="1" customWidth="1"/>
    <col min="5157" max="5168" width="5.7109375" style="1" customWidth="1"/>
    <col min="5169" max="5169" width="6.42578125" style="1" customWidth="1"/>
    <col min="5170" max="5170" width="6.85546875" style="1" customWidth="1"/>
    <col min="5171" max="5171" width="9" style="1" customWidth="1"/>
    <col min="5172" max="5173" width="6.7109375" style="1" customWidth="1"/>
    <col min="5174" max="5174" width="19.85546875" style="1" customWidth="1"/>
    <col min="5175" max="5189" width="5.7109375" style="1" customWidth="1"/>
    <col min="5190" max="5190" width="6.28515625" style="1" customWidth="1"/>
    <col min="5191" max="5191" width="7.28515625" style="1" customWidth="1"/>
    <col min="5192" max="5204" width="5.7109375" style="1" customWidth="1"/>
    <col min="5205" max="5205" width="6.7109375" style="1" customWidth="1"/>
    <col min="5206" max="5206" width="6.85546875" style="1" customWidth="1"/>
    <col min="5207" max="5207" width="6.7109375" style="1" customWidth="1"/>
    <col min="5208" max="5208" width="6.28515625" style="1" customWidth="1"/>
    <col min="5209" max="5209" width="5.85546875" style="1" customWidth="1"/>
    <col min="5210" max="5210" width="7.7109375" style="1" customWidth="1"/>
    <col min="5211" max="5211" width="18.42578125" style="1" customWidth="1"/>
    <col min="5212" max="5378" width="8.42578125" style="1"/>
    <col min="5379" max="5379" width="11.140625" style="1" customWidth="1"/>
    <col min="5380" max="5380" width="18.28515625" style="1" customWidth="1"/>
    <col min="5381" max="5382" width="10.140625" style="1" customWidth="1"/>
    <col min="5383" max="5387" width="8.7109375" style="1" customWidth="1"/>
    <col min="5388" max="5388" width="9.85546875" style="1" customWidth="1"/>
    <col min="5389" max="5389" width="8.7109375" style="1" customWidth="1"/>
    <col min="5390" max="5390" width="19.140625" style="1" customWidth="1"/>
    <col min="5391" max="5402" width="5.7109375" style="1" customWidth="1"/>
    <col min="5403" max="5403" width="10.5703125" style="1" customWidth="1"/>
    <col min="5404" max="5405" width="7.140625" style="1" customWidth="1"/>
    <col min="5406" max="5406" width="18.5703125" style="1" customWidth="1"/>
    <col min="5407" max="5411" width="5.7109375" style="1" customWidth="1"/>
    <col min="5412" max="5412" width="6.140625" style="1" customWidth="1"/>
    <col min="5413" max="5424" width="5.7109375" style="1" customWidth="1"/>
    <col min="5425" max="5425" width="6.42578125" style="1" customWidth="1"/>
    <col min="5426" max="5426" width="6.85546875" style="1" customWidth="1"/>
    <col min="5427" max="5427" width="9" style="1" customWidth="1"/>
    <col min="5428" max="5429" width="6.7109375" style="1" customWidth="1"/>
    <col min="5430" max="5430" width="19.85546875" style="1" customWidth="1"/>
    <col min="5431" max="5445" width="5.7109375" style="1" customWidth="1"/>
    <col min="5446" max="5446" width="6.28515625" style="1" customWidth="1"/>
    <col min="5447" max="5447" width="7.28515625" style="1" customWidth="1"/>
    <col min="5448" max="5460" width="5.7109375" style="1" customWidth="1"/>
    <col min="5461" max="5461" width="6.7109375" style="1" customWidth="1"/>
    <col min="5462" max="5462" width="6.85546875" style="1" customWidth="1"/>
    <col min="5463" max="5463" width="6.7109375" style="1" customWidth="1"/>
    <col min="5464" max="5464" width="6.28515625" style="1" customWidth="1"/>
    <col min="5465" max="5465" width="5.85546875" style="1" customWidth="1"/>
    <col min="5466" max="5466" width="7.7109375" style="1" customWidth="1"/>
    <col min="5467" max="5467" width="18.42578125" style="1" customWidth="1"/>
    <col min="5468" max="5634" width="8.42578125" style="1"/>
    <col min="5635" max="5635" width="11.140625" style="1" customWidth="1"/>
    <col min="5636" max="5636" width="18.28515625" style="1" customWidth="1"/>
    <col min="5637" max="5638" width="10.140625" style="1" customWidth="1"/>
    <col min="5639" max="5643" width="8.7109375" style="1" customWidth="1"/>
    <col min="5644" max="5644" width="9.85546875" style="1" customWidth="1"/>
    <col min="5645" max="5645" width="8.7109375" style="1" customWidth="1"/>
    <col min="5646" max="5646" width="19.140625" style="1" customWidth="1"/>
    <col min="5647" max="5658" width="5.7109375" style="1" customWidth="1"/>
    <col min="5659" max="5659" width="10.5703125" style="1" customWidth="1"/>
    <col min="5660" max="5661" width="7.140625" style="1" customWidth="1"/>
    <col min="5662" max="5662" width="18.5703125" style="1" customWidth="1"/>
    <col min="5663" max="5667" width="5.7109375" style="1" customWidth="1"/>
    <col min="5668" max="5668" width="6.140625" style="1" customWidth="1"/>
    <col min="5669" max="5680" width="5.7109375" style="1" customWidth="1"/>
    <col min="5681" max="5681" width="6.42578125" style="1" customWidth="1"/>
    <col min="5682" max="5682" width="6.85546875" style="1" customWidth="1"/>
    <col min="5683" max="5683" width="9" style="1" customWidth="1"/>
    <col min="5684" max="5685" width="6.7109375" style="1" customWidth="1"/>
    <col min="5686" max="5686" width="19.85546875" style="1" customWidth="1"/>
    <col min="5687" max="5701" width="5.7109375" style="1" customWidth="1"/>
    <col min="5702" max="5702" width="6.28515625" style="1" customWidth="1"/>
    <col min="5703" max="5703" width="7.28515625" style="1" customWidth="1"/>
    <col min="5704" max="5716" width="5.7109375" style="1" customWidth="1"/>
    <col min="5717" max="5717" width="6.7109375" style="1" customWidth="1"/>
    <col min="5718" max="5718" width="6.85546875" style="1" customWidth="1"/>
    <col min="5719" max="5719" width="6.7109375" style="1" customWidth="1"/>
    <col min="5720" max="5720" width="6.28515625" style="1" customWidth="1"/>
    <col min="5721" max="5721" width="5.85546875" style="1" customWidth="1"/>
    <col min="5722" max="5722" width="7.7109375" style="1" customWidth="1"/>
    <col min="5723" max="5723" width="18.42578125" style="1" customWidth="1"/>
    <col min="5724" max="5890" width="8.42578125" style="1"/>
    <col min="5891" max="5891" width="11.140625" style="1" customWidth="1"/>
    <col min="5892" max="5892" width="18.28515625" style="1" customWidth="1"/>
    <col min="5893" max="5894" width="10.140625" style="1" customWidth="1"/>
    <col min="5895" max="5899" width="8.7109375" style="1" customWidth="1"/>
    <col min="5900" max="5900" width="9.85546875" style="1" customWidth="1"/>
    <col min="5901" max="5901" width="8.7109375" style="1" customWidth="1"/>
    <col min="5902" max="5902" width="19.140625" style="1" customWidth="1"/>
    <col min="5903" max="5914" width="5.7109375" style="1" customWidth="1"/>
    <col min="5915" max="5915" width="10.5703125" style="1" customWidth="1"/>
    <col min="5916" max="5917" width="7.140625" style="1" customWidth="1"/>
    <col min="5918" max="5918" width="18.5703125" style="1" customWidth="1"/>
    <col min="5919" max="5923" width="5.7109375" style="1" customWidth="1"/>
    <col min="5924" max="5924" width="6.140625" style="1" customWidth="1"/>
    <col min="5925" max="5936" width="5.7109375" style="1" customWidth="1"/>
    <col min="5937" max="5937" width="6.42578125" style="1" customWidth="1"/>
    <col min="5938" max="5938" width="6.85546875" style="1" customWidth="1"/>
    <col min="5939" max="5939" width="9" style="1" customWidth="1"/>
    <col min="5940" max="5941" width="6.7109375" style="1" customWidth="1"/>
    <col min="5942" max="5942" width="19.85546875" style="1" customWidth="1"/>
    <col min="5943" max="5957" width="5.7109375" style="1" customWidth="1"/>
    <col min="5958" max="5958" width="6.28515625" style="1" customWidth="1"/>
    <col min="5959" max="5959" width="7.28515625" style="1" customWidth="1"/>
    <col min="5960" max="5972" width="5.7109375" style="1" customWidth="1"/>
    <col min="5973" max="5973" width="6.7109375" style="1" customWidth="1"/>
    <col min="5974" max="5974" width="6.85546875" style="1" customWidth="1"/>
    <col min="5975" max="5975" width="6.7109375" style="1" customWidth="1"/>
    <col min="5976" max="5976" width="6.28515625" style="1" customWidth="1"/>
    <col min="5977" max="5977" width="5.85546875" style="1" customWidth="1"/>
    <col min="5978" max="5978" width="7.7109375" style="1" customWidth="1"/>
    <col min="5979" max="5979" width="18.42578125" style="1" customWidth="1"/>
    <col min="5980" max="6146" width="8.42578125" style="1"/>
    <col min="6147" max="6147" width="11.140625" style="1" customWidth="1"/>
    <col min="6148" max="6148" width="18.28515625" style="1" customWidth="1"/>
    <col min="6149" max="6150" width="10.140625" style="1" customWidth="1"/>
    <col min="6151" max="6155" width="8.7109375" style="1" customWidth="1"/>
    <col min="6156" max="6156" width="9.85546875" style="1" customWidth="1"/>
    <col min="6157" max="6157" width="8.7109375" style="1" customWidth="1"/>
    <col min="6158" max="6158" width="19.140625" style="1" customWidth="1"/>
    <col min="6159" max="6170" width="5.7109375" style="1" customWidth="1"/>
    <col min="6171" max="6171" width="10.5703125" style="1" customWidth="1"/>
    <col min="6172" max="6173" width="7.140625" style="1" customWidth="1"/>
    <col min="6174" max="6174" width="18.5703125" style="1" customWidth="1"/>
    <col min="6175" max="6179" width="5.7109375" style="1" customWidth="1"/>
    <col min="6180" max="6180" width="6.140625" style="1" customWidth="1"/>
    <col min="6181" max="6192" width="5.7109375" style="1" customWidth="1"/>
    <col min="6193" max="6193" width="6.42578125" style="1" customWidth="1"/>
    <col min="6194" max="6194" width="6.85546875" style="1" customWidth="1"/>
    <col min="6195" max="6195" width="9" style="1" customWidth="1"/>
    <col min="6196" max="6197" width="6.7109375" style="1" customWidth="1"/>
    <col min="6198" max="6198" width="19.85546875" style="1" customWidth="1"/>
    <col min="6199" max="6213" width="5.7109375" style="1" customWidth="1"/>
    <col min="6214" max="6214" width="6.28515625" style="1" customWidth="1"/>
    <col min="6215" max="6215" width="7.28515625" style="1" customWidth="1"/>
    <col min="6216" max="6228" width="5.7109375" style="1" customWidth="1"/>
    <col min="6229" max="6229" width="6.7109375" style="1" customWidth="1"/>
    <col min="6230" max="6230" width="6.85546875" style="1" customWidth="1"/>
    <col min="6231" max="6231" width="6.7109375" style="1" customWidth="1"/>
    <col min="6232" max="6232" width="6.28515625" style="1" customWidth="1"/>
    <col min="6233" max="6233" width="5.85546875" style="1" customWidth="1"/>
    <col min="6234" max="6234" width="7.7109375" style="1" customWidth="1"/>
    <col min="6235" max="6235" width="18.42578125" style="1" customWidth="1"/>
    <col min="6236" max="6402" width="8.42578125" style="1"/>
    <col min="6403" max="6403" width="11.140625" style="1" customWidth="1"/>
    <col min="6404" max="6404" width="18.28515625" style="1" customWidth="1"/>
    <col min="6405" max="6406" width="10.140625" style="1" customWidth="1"/>
    <col min="6407" max="6411" width="8.7109375" style="1" customWidth="1"/>
    <col min="6412" max="6412" width="9.85546875" style="1" customWidth="1"/>
    <col min="6413" max="6413" width="8.7109375" style="1" customWidth="1"/>
    <col min="6414" max="6414" width="19.140625" style="1" customWidth="1"/>
    <col min="6415" max="6426" width="5.7109375" style="1" customWidth="1"/>
    <col min="6427" max="6427" width="10.5703125" style="1" customWidth="1"/>
    <col min="6428" max="6429" width="7.140625" style="1" customWidth="1"/>
    <col min="6430" max="6430" width="18.5703125" style="1" customWidth="1"/>
    <col min="6431" max="6435" width="5.7109375" style="1" customWidth="1"/>
    <col min="6436" max="6436" width="6.140625" style="1" customWidth="1"/>
    <col min="6437" max="6448" width="5.7109375" style="1" customWidth="1"/>
    <col min="6449" max="6449" width="6.42578125" style="1" customWidth="1"/>
    <col min="6450" max="6450" width="6.85546875" style="1" customWidth="1"/>
    <col min="6451" max="6451" width="9" style="1" customWidth="1"/>
    <col min="6452" max="6453" width="6.7109375" style="1" customWidth="1"/>
    <col min="6454" max="6454" width="19.85546875" style="1" customWidth="1"/>
    <col min="6455" max="6469" width="5.7109375" style="1" customWidth="1"/>
    <col min="6470" max="6470" width="6.28515625" style="1" customWidth="1"/>
    <col min="6471" max="6471" width="7.28515625" style="1" customWidth="1"/>
    <col min="6472" max="6484" width="5.7109375" style="1" customWidth="1"/>
    <col min="6485" max="6485" width="6.7109375" style="1" customWidth="1"/>
    <col min="6486" max="6486" width="6.85546875" style="1" customWidth="1"/>
    <col min="6487" max="6487" width="6.7109375" style="1" customWidth="1"/>
    <col min="6488" max="6488" width="6.28515625" style="1" customWidth="1"/>
    <col min="6489" max="6489" width="5.85546875" style="1" customWidth="1"/>
    <col min="6490" max="6490" width="7.7109375" style="1" customWidth="1"/>
    <col min="6491" max="6491" width="18.42578125" style="1" customWidth="1"/>
    <col min="6492" max="6658" width="8.42578125" style="1"/>
    <col min="6659" max="6659" width="11.140625" style="1" customWidth="1"/>
    <col min="6660" max="6660" width="18.28515625" style="1" customWidth="1"/>
    <col min="6661" max="6662" width="10.140625" style="1" customWidth="1"/>
    <col min="6663" max="6667" width="8.7109375" style="1" customWidth="1"/>
    <col min="6668" max="6668" width="9.85546875" style="1" customWidth="1"/>
    <col min="6669" max="6669" width="8.7109375" style="1" customWidth="1"/>
    <col min="6670" max="6670" width="19.140625" style="1" customWidth="1"/>
    <col min="6671" max="6682" width="5.7109375" style="1" customWidth="1"/>
    <col min="6683" max="6683" width="10.5703125" style="1" customWidth="1"/>
    <col min="6684" max="6685" width="7.140625" style="1" customWidth="1"/>
    <col min="6686" max="6686" width="18.5703125" style="1" customWidth="1"/>
    <col min="6687" max="6691" width="5.7109375" style="1" customWidth="1"/>
    <col min="6692" max="6692" width="6.140625" style="1" customWidth="1"/>
    <col min="6693" max="6704" width="5.7109375" style="1" customWidth="1"/>
    <col min="6705" max="6705" width="6.42578125" style="1" customWidth="1"/>
    <col min="6706" max="6706" width="6.85546875" style="1" customWidth="1"/>
    <col min="6707" max="6707" width="9" style="1" customWidth="1"/>
    <col min="6708" max="6709" width="6.7109375" style="1" customWidth="1"/>
    <col min="6710" max="6710" width="19.85546875" style="1" customWidth="1"/>
    <col min="6711" max="6725" width="5.7109375" style="1" customWidth="1"/>
    <col min="6726" max="6726" width="6.28515625" style="1" customWidth="1"/>
    <col min="6727" max="6727" width="7.28515625" style="1" customWidth="1"/>
    <col min="6728" max="6740" width="5.7109375" style="1" customWidth="1"/>
    <col min="6741" max="6741" width="6.7109375" style="1" customWidth="1"/>
    <col min="6742" max="6742" width="6.85546875" style="1" customWidth="1"/>
    <col min="6743" max="6743" width="6.7109375" style="1" customWidth="1"/>
    <col min="6744" max="6744" width="6.28515625" style="1" customWidth="1"/>
    <col min="6745" max="6745" width="5.85546875" style="1" customWidth="1"/>
    <col min="6746" max="6746" width="7.7109375" style="1" customWidth="1"/>
    <col min="6747" max="6747" width="18.42578125" style="1" customWidth="1"/>
    <col min="6748" max="6914" width="8.42578125" style="1"/>
    <col min="6915" max="6915" width="11.140625" style="1" customWidth="1"/>
    <col min="6916" max="6916" width="18.28515625" style="1" customWidth="1"/>
    <col min="6917" max="6918" width="10.140625" style="1" customWidth="1"/>
    <col min="6919" max="6923" width="8.7109375" style="1" customWidth="1"/>
    <col min="6924" max="6924" width="9.85546875" style="1" customWidth="1"/>
    <col min="6925" max="6925" width="8.7109375" style="1" customWidth="1"/>
    <col min="6926" max="6926" width="19.140625" style="1" customWidth="1"/>
    <col min="6927" max="6938" width="5.7109375" style="1" customWidth="1"/>
    <col min="6939" max="6939" width="10.5703125" style="1" customWidth="1"/>
    <col min="6940" max="6941" width="7.140625" style="1" customWidth="1"/>
    <col min="6942" max="6942" width="18.5703125" style="1" customWidth="1"/>
    <col min="6943" max="6947" width="5.7109375" style="1" customWidth="1"/>
    <col min="6948" max="6948" width="6.140625" style="1" customWidth="1"/>
    <col min="6949" max="6960" width="5.7109375" style="1" customWidth="1"/>
    <col min="6961" max="6961" width="6.42578125" style="1" customWidth="1"/>
    <col min="6962" max="6962" width="6.85546875" style="1" customWidth="1"/>
    <col min="6963" max="6963" width="9" style="1" customWidth="1"/>
    <col min="6964" max="6965" width="6.7109375" style="1" customWidth="1"/>
    <col min="6966" max="6966" width="19.85546875" style="1" customWidth="1"/>
    <col min="6967" max="6981" width="5.7109375" style="1" customWidth="1"/>
    <col min="6982" max="6982" width="6.28515625" style="1" customWidth="1"/>
    <col min="6983" max="6983" width="7.28515625" style="1" customWidth="1"/>
    <col min="6984" max="6996" width="5.7109375" style="1" customWidth="1"/>
    <col min="6997" max="6997" width="6.7109375" style="1" customWidth="1"/>
    <col min="6998" max="6998" width="6.85546875" style="1" customWidth="1"/>
    <col min="6999" max="6999" width="6.7109375" style="1" customWidth="1"/>
    <col min="7000" max="7000" width="6.28515625" style="1" customWidth="1"/>
    <col min="7001" max="7001" width="5.85546875" style="1" customWidth="1"/>
    <col min="7002" max="7002" width="7.7109375" style="1" customWidth="1"/>
    <col min="7003" max="7003" width="18.42578125" style="1" customWidth="1"/>
    <col min="7004" max="7170" width="8.42578125" style="1"/>
    <col min="7171" max="7171" width="11.140625" style="1" customWidth="1"/>
    <col min="7172" max="7172" width="18.28515625" style="1" customWidth="1"/>
    <col min="7173" max="7174" width="10.140625" style="1" customWidth="1"/>
    <col min="7175" max="7179" width="8.7109375" style="1" customWidth="1"/>
    <col min="7180" max="7180" width="9.85546875" style="1" customWidth="1"/>
    <col min="7181" max="7181" width="8.7109375" style="1" customWidth="1"/>
    <col min="7182" max="7182" width="19.140625" style="1" customWidth="1"/>
    <col min="7183" max="7194" width="5.7109375" style="1" customWidth="1"/>
    <col min="7195" max="7195" width="10.5703125" style="1" customWidth="1"/>
    <col min="7196" max="7197" width="7.140625" style="1" customWidth="1"/>
    <col min="7198" max="7198" width="18.5703125" style="1" customWidth="1"/>
    <col min="7199" max="7203" width="5.7109375" style="1" customWidth="1"/>
    <col min="7204" max="7204" width="6.140625" style="1" customWidth="1"/>
    <col min="7205" max="7216" width="5.7109375" style="1" customWidth="1"/>
    <col min="7217" max="7217" width="6.42578125" style="1" customWidth="1"/>
    <col min="7218" max="7218" width="6.85546875" style="1" customWidth="1"/>
    <col min="7219" max="7219" width="9" style="1" customWidth="1"/>
    <col min="7220" max="7221" width="6.7109375" style="1" customWidth="1"/>
    <col min="7222" max="7222" width="19.85546875" style="1" customWidth="1"/>
    <col min="7223" max="7237" width="5.7109375" style="1" customWidth="1"/>
    <col min="7238" max="7238" width="6.28515625" style="1" customWidth="1"/>
    <col min="7239" max="7239" width="7.28515625" style="1" customWidth="1"/>
    <col min="7240" max="7252" width="5.7109375" style="1" customWidth="1"/>
    <col min="7253" max="7253" width="6.7109375" style="1" customWidth="1"/>
    <col min="7254" max="7254" width="6.85546875" style="1" customWidth="1"/>
    <col min="7255" max="7255" width="6.7109375" style="1" customWidth="1"/>
    <col min="7256" max="7256" width="6.28515625" style="1" customWidth="1"/>
    <col min="7257" max="7257" width="5.85546875" style="1" customWidth="1"/>
    <col min="7258" max="7258" width="7.7109375" style="1" customWidth="1"/>
    <col min="7259" max="7259" width="18.42578125" style="1" customWidth="1"/>
    <col min="7260" max="7426" width="8.42578125" style="1"/>
    <col min="7427" max="7427" width="11.140625" style="1" customWidth="1"/>
    <col min="7428" max="7428" width="18.28515625" style="1" customWidth="1"/>
    <col min="7429" max="7430" width="10.140625" style="1" customWidth="1"/>
    <col min="7431" max="7435" width="8.7109375" style="1" customWidth="1"/>
    <col min="7436" max="7436" width="9.85546875" style="1" customWidth="1"/>
    <col min="7437" max="7437" width="8.7109375" style="1" customWidth="1"/>
    <col min="7438" max="7438" width="19.140625" style="1" customWidth="1"/>
    <col min="7439" max="7450" width="5.7109375" style="1" customWidth="1"/>
    <col min="7451" max="7451" width="10.5703125" style="1" customWidth="1"/>
    <col min="7452" max="7453" width="7.140625" style="1" customWidth="1"/>
    <col min="7454" max="7454" width="18.5703125" style="1" customWidth="1"/>
    <col min="7455" max="7459" width="5.7109375" style="1" customWidth="1"/>
    <col min="7460" max="7460" width="6.140625" style="1" customWidth="1"/>
    <col min="7461" max="7472" width="5.7109375" style="1" customWidth="1"/>
    <col min="7473" max="7473" width="6.42578125" style="1" customWidth="1"/>
    <col min="7474" max="7474" width="6.85546875" style="1" customWidth="1"/>
    <col min="7475" max="7475" width="9" style="1" customWidth="1"/>
    <col min="7476" max="7477" width="6.7109375" style="1" customWidth="1"/>
    <col min="7478" max="7478" width="19.85546875" style="1" customWidth="1"/>
    <col min="7479" max="7493" width="5.7109375" style="1" customWidth="1"/>
    <col min="7494" max="7494" width="6.28515625" style="1" customWidth="1"/>
    <col min="7495" max="7495" width="7.28515625" style="1" customWidth="1"/>
    <col min="7496" max="7508" width="5.7109375" style="1" customWidth="1"/>
    <col min="7509" max="7509" width="6.7109375" style="1" customWidth="1"/>
    <col min="7510" max="7510" width="6.85546875" style="1" customWidth="1"/>
    <col min="7511" max="7511" width="6.7109375" style="1" customWidth="1"/>
    <col min="7512" max="7512" width="6.28515625" style="1" customWidth="1"/>
    <col min="7513" max="7513" width="5.85546875" style="1" customWidth="1"/>
    <col min="7514" max="7514" width="7.7109375" style="1" customWidth="1"/>
    <col min="7515" max="7515" width="18.42578125" style="1" customWidth="1"/>
    <col min="7516" max="7682" width="8.42578125" style="1"/>
    <col min="7683" max="7683" width="11.140625" style="1" customWidth="1"/>
    <col min="7684" max="7684" width="18.28515625" style="1" customWidth="1"/>
    <col min="7685" max="7686" width="10.140625" style="1" customWidth="1"/>
    <col min="7687" max="7691" width="8.7109375" style="1" customWidth="1"/>
    <col min="7692" max="7692" width="9.85546875" style="1" customWidth="1"/>
    <col min="7693" max="7693" width="8.7109375" style="1" customWidth="1"/>
    <col min="7694" max="7694" width="19.140625" style="1" customWidth="1"/>
    <col min="7695" max="7706" width="5.7109375" style="1" customWidth="1"/>
    <col min="7707" max="7707" width="10.5703125" style="1" customWidth="1"/>
    <col min="7708" max="7709" width="7.140625" style="1" customWidth="1"/>
    <col min="7710" max="7710" width="18.5703125" style="1" customWidth="1"/>
    <col min="7711" max="7715" width="5.7109375" style="1" customWidth="1"/>
    <col min="7716" max="7716" width="6.140625" style="1" customWidth="1"/>
    <col min="7717" max="7728" width="5.7109375" style="1" customWidth="1"/>
    <col min="7729" max="7729" width="6.42578125" style="1" customWidth="1"/>
    <col min="7730" max="7730" width="6.85546875" style="1" customWidth="1"/>
    <col min="7731" max="7731" width="9" style="1" customWidth="1"/>
    <col min="7732" max="7733" width="6.7109375" style="1" customWidth="1"/>
    <col min="7734" max="7734" width="19.85546875" style="1" customWidth="1"/>
    <col min="7735" max="7749" width="5.7109375" style="1" customWidth="1"/>
    <col min="7750" max="7750" width="6.28515625" style="1" customWidth="1"/>
    <col min="7751" max="7751" width="7.28515625" style="1" customWidth="1"/>
    <col min="7752" max="7764" width="5.7109375" style="1" customWidth="1"/>
    <col min="7765" max="7765" width="6.7109375" style="1" customWidth="1"/>
    <col min="7766" max="7766" width="6.85546875" style="1" customWidth="1"/>
    <col min="7767" max="7767" width="6.7109375" style="1" customWidth="1"/>
    <col min="7768" max="7768" width="6.28515625" style="1" customWidth="1"/>
    <col min="7769" max="7769" width="5.85546875" style="1" customWidth="1"/>
    <col min="7770" max="7770" width="7.7109375" style="1" customWidth="1"/>
    <col min="7771" max="7771" width="18.42578125" style="1" customWidth="1"/>
    <col min="7772" max="7938" width="8.42578125" style="1"/>
    <col min="7939" max="7939" width="11.140625" style="1" customWidth="1"/>
    <col min="7940" max="7940" width="18.28515625" style="1" customWidth="1"/>
    <col min="7941" max="7942" width="10.140625" style="1" customWidth="1"/>
    <col min="7943" max="7947" width="8.7109375" style="1" customWidth="1"/>
    <col min="7948" max="7948" width="9.85546875" style="1" customWidth="1"/>
    <col min="7949" max="7949" width="8.7109375" style="1" customWidth="1"/>
    <col min="7950" max="7950" width="19.140625" style="1" customWidth="1"/>
    <col min="7951" max="7962" width="5.7109375" style="1" customWidth="1"/>
    <col min="7963" max="7963" width="10.5703125" style="1" customWidth="1"/>
    <col min="7964" max="7965" width="7.140625" style="1" customWidth="1"/>
    <col min="7966" max="7966" width="18.5703125" style="1" customWidth="1"/>
    <col min="7967" max="7971" width="5.7109375" style="1" customWidth="1"/>
    <col min="7972" max="7972" width="6.140625" style="1" customWidth="1"/>
    <col min="7973" max="7984" width="5.7109375" style="1" customWidth="1"/>
    <col min="7985" max="7985" width="6.42578125" style="1" customWidth="1"/>
    <col min="7986" max="7986" width="6.85546875" style="1" customWidth="1"/>
    <col min="7987" max="7987" width="9" style="1" customWidth="1"/>
    <col min="7988" max="7989" width="6.7109375" style="1" customWidth="1"/>
    <col min="7990" max="7990" width="19.85546875" style="1" customWidth="1"/>
    <col min="7991" max="8005" width="5.7109375" style="1" customWidth="1"/>
    <col min="8006" max="8006" width="6.28515625" style="1" customWidth="1"/>
    <col min="8007" max="8007" width="7.28515625" style="1" customWidth="1"/>
    <col min="8008" max="8020" width="5.7109375" style="1" customWidth="1"/>
    <col min="8021" max="8021" width="6.7109375" style="1" customWidth="1"/>
    <col min="8022" max="8022" width="6.85546875" style="1" customWidth="1"/>
    <col min="8023" max="8023" width="6.7109375" style="1" customWidth="1"/>
    <col min="8024" max="8024" width="6.28515625" style="1" customWidth="1"/>
    <col min="8025" max="8025" width="5.85546875" style="1" customWidth="1"/>
    <col min="8026" max="8026" width="7.7109375" style="1" customWidth="1"/>
    <col min="8027" max="8027" width="18.42578125" style="1" customWidth="1"/>
    <col min="8028" max="8194" width="8.42578125" style="1"/>
    <col min="8195" max="8195" width="11.140625" style="1" customWidth="1"/>
    <col min="8196" max="8196" width="18.28515625" style="1" customWidth="1"/>
    <col min="8197" max="8198" width="10.140625" style="1" customWidth="1"/>
    <col min="8199" max="8203" width="8.7109375" style="1" customWidth="1"/>
    <col min="8204" max="8204" width="9.85546875" style="1" customWidth="1"/>
    <col min="8205" max="8205" width="8.7109375" style="1" customWidth="1"/>
    <col min="8206" max="8206" width="19.140625" style="1" customWidth="1"/>
    <col min="8207" max="8218" width="5.7109375" style="1" customWidth="1"/>
    <col min="8219" max="8219" width="10.5703125" style="1" customWidth="1"/>
    <col min="8220" max="8221" width="7.140625" style="1" customWidth="1"/>
    <col min="8222" max="8222" width="18.5703125" style="1" customWidth="1"/>
    <col min="8223" max="8227" width="5.7109375" style="1" customWidth="1"/>
    <col min="8228" max="8228" width="6.140625" style="1" customWidth="1"/>
    <col min="8229" max="8240" width="5.7109375" style="1" customWidth="1"/>
    <col min="8241" max="8241" width="6.42578125" style="1" customWidth="1"/>
    <col min="8242" max="8242" width="6.85546875" style="1" customWidth="1"/>
    <col min="8243" max="8243" width="9" style="1" customWidth="1"/>
    <col min="8244" max="8245" width="6.7109375" style="1" customWidth="1"/>
    <col min="8246" max="8246" width="19.85546875" style="1" customWidth="1"/>
    <col min="8247" max="8261" width="5.7109375" style="1" customWidth="1"/>
    <col min="8262" max="8262" width="6.28515625" style="1" customWidth="1"/>
    <col min="8263" max="8263" width="7.28515625" style="1" customWidth="1"/>
    <col min="8264" max="8276" width="5.7109375" style="1" customWidth="1"/>
    <col min="8277" max="8277" width="6.7109375" style="1" customWidth="1"/>
    <col min="8278" max="8278" width="6.85546875" style="1" customWidth="1"/>
    <col min="8279" max="8279" width="6.7109375" style="1" customWidth="1"/>
    <col min="8280" max="8280" width="6.28515625" style="1" customWidth="1"/>
    <col min="8281" max="8281" width="5.85546875" style="1" customWidth="1"/>
    <col min="8282" max="8282" width="7.7109375" style="1" customWidth="1"/>
    <col min="8283" max="8283" width="18.42578125" style="1" customWidth="1"/>
    <col min="8284" max="8450" width="8.42578125" style="1"/>
    <col min="8451" max="8451" width="11.140625" style="1" customWidth="1"/>
    <col min="8452" max="8452" width="18.28515625" style="1" customWidth="1"/>
    <col min="8453" max="8454" width="10.140625" style="1" customWidth="1"/>
    <col min="8455" max="8459" width="8.7109375" style="1" customWidth="1"/>
    <col min="8460" max="8460" width="9.85546875" style="1" customWidth="1"/>
    <col min="8461" max="8461" width="8.7109375" style="1" customWidth="1"/>
    <col min="8462" max="8462" width="19.140625" style="1" customWidth="1"/>
    <col min="8463" max="8474" width="5.7109375" style="1" customWidth="1"/>
    <col min="8475" max="8475" width="10.5703125" style="1" customWidth="1"/>
    <col min="8476" max="8477" width="7.140625" style="1" customWidth="1"/>
    <col min="8478" max="8478" width="18.5703125" style="1" customWidth="1"/>
    <col min="8479" max="8483" width="5.7109375" style="1" customWidth="1"/>
    <col min="8484" max="8484" width="6.140625" style="1" customWidth="1"/>
    <col min="8485" max="8496" width="5.7109375" style="1" customWidth="1"/>
    <col min="8497" max="8497" width="6.42578125" style="1" customWidth="1"/>
    <col min="8498" max="8498" width="6.85546875" style="1" customWidth="1"/>
    <col min="8499" max="8499" width="9" style="1" customWidth="1"/>
    <col min="8500" max="8501" width="6.7109375" style="1" customWidth="1"/>
    <col min="8502" max="8502" width="19.85546875" style="1" customWidth="1"/>
    <col min="8503" max="8517" width="5.7109375" style="1" customWidth="1"/>
    <col min="8518" max="8518" width="6.28515625" style="1" customWidth="1"/>
    <col min="8519" max="8519" width="7.28515625" style="1" customWidth="1"/>
    <col min="8520" max="8532" width="5.7109375" style="1" customWidth="1"/>
    <col min="8533" max="8533" width="6.7109375" style="1" customWidth="1"/>
    <col min="8534" max="8534" width="6.85546875" style="1" customWidth="1"/>
    <col min="8535" max="8535" width="6.7109375" style="1" customWidth="1"/>
    <col min="8536" max="8536" width="6.28515625" style="1" customWidth="1"/>
    <col min="8537" max="8537" width="5.85546875" style="1" customWidth="1"/>
    <col min="8538" max="8538" width="7.7109375" style="1" customWidth="1"/>
    <col min="8539" max="8539" width="18.42578125" style="1" customWidth="1"/>
    <col min="8540" max="8706" width="8.42578125" style="1"/>
    <col min="8707" max="8707" width="11.140625" style="1" customWidth="1"/>
    <col min="8708" max="8708" width="18.28515625" style="1" customWidth="1"/>
    <col min="8709" max="8710" width="10.140625" style="1" customWidth="1"/>
    <col min="8711" max="8715" width="8.7109375" style="1" customWidth="1"/>
    <col min="8716" max="8716" width="9.85546875" style="1" customWidth="1"/>
    <col min="8717" max="8717" width="8.7109375" style="1" customWidth="1"/>
    <col min="8718" max="8718" width="19.140625" style="1" customWidth="1"/>
    <col min="8719" max="8730" width="5.7109375" style="1" customWidth="1"/>
    <col min="8731" max="8731" width="10.5703125" style="1" customWidth="1"/>
    <col min="8732" max="8733" width="7.140625" style="1" customWidth="1"/>
    <col min="8734" max="8734" width="18.5703125" style="1" customWidth="1"/>
    <col min="8735" max="8739" width="5.7109375" style="1" customWidth="1"/>
    <col min="8740" max="8740" width="6.140625" style="1" customWidth="1"/>
    <col min="8741" max="8752" width="5.7109375" style="1" customWidth="1"/>
    <col min="8753" max="8753" width="6.42578125" style="1" customWidth="1"/>
    <col min="8754" max="8754" width="6.85546875" style="1" customWidth="1"/>
    <col min="8755" max="8755" width="9" style="1" customWidth="1"/>
    <col min="8756" max="8757" width="6.7109375" style="1" customWidth="1"/>
    <col min="8758" max="8758" width="19.85546875" style="1" customWidth="1"/>
    <col min="8759" max="8773" width="5.7109375" style="1" customWidth="1"/>
    <col min="8774" max="8774" width="6.28515625" style="1" customWidth="1"/>
    <col min="8775" max="8775" width="7.28515625" style="1" customWidth="1"/>
    <col min="8776" max="8788" width="5.7109375" style="1" customWidth="1"/>
    <col min="8789" max="8789" width="6.7109375" style="1" customWidth="1"/>
    <col min="8790" max="8790" width="6.85546875" style="1" customWidth="1"/>
    <col min="8791" max="8791" width="6.7109375" style="1" customWidth="1"/>
    <col min="8792" max="8792" width="6.28515625" style="1" customWidth="1"/>
    <col min="8793" max="8793" width="5.85546875" style="1" customWidth="1"/>
    <col min="8794" max="8794" width="7.7109375" style="1" customWidth="1"/>
    <col min="8795" max="8795" width="18.42578125" style="1" customWidth="1"/>
    <col min="8796" max="8962" width="8.42578125" style="1"/>
    <col min="8963" max="8963" width="11.140625" style="1" customWidth="1"/>
    <col min="8964" max="8964" width="18.28515625" style="1" customWidth="1"/>
    <col min="8965" max="8966" width="10.140625" style="1" customWidth="1"/>
    <col min="8967" max="8971" width="8.7109375" style="1" customWidth="1"/>
    <col min="8972" max="8972" width="9.85546875" style="1" customWidth="1"/>
    <col min="8973" max="8973" width="8.7109375" style="1" customWidth="1"/>
    <col min="8974" max="8974" width="19.140625" style="1" customWidth="1"/>
    <col min="8975" max="8986" width="5.7109375" style="1" customWidth="1"/>
    <col min="8987" max="8987" width="10.5703125" style="1" customWidth="1"/>
    <col min="8988" max="8989" width="7.140625" style="1" customWidth="1"/>
    <col min="8990" max="8990" width="18.5703125" style="1" customWidth="1"/>
    <col min="8991" max="8995" width="5.7109375" style="1" customWidth="1"/>
    <col min="8996" max="8996" width="6.140625" style="1" customWidth="1"/>
    <col min="8997" max="9008" width="5.7109375" style="1" customWidth="1"/>
    <col min="9009" max="9009" width="6.42578125" style="1" customWidth="1"/>
    <col min="9010" max="9010" width="6.85546875" style="1" customWidth="1"/>
    <col min="9011" max="9011" width="9" style="1" customWidth="1"/>
    <col min="9012" max="9013" width="6.7109375" style="1" customWidth="1"/>
    <col min="9014" max="9014" width="19.85546875" style="1" customWidth="1"/>
    <col min="9015" max="9029" width="5.7109375" style="1" customWidth="1"/>
    <col min="9030" max="9030" width="6.28515625" style="1" customWidth="1"/>
    <col min="9031" max="9031" width="7.28515625" style="1" customWidth="1"/>
    <col min="9032" max="9044" width="5.7109375" style="1" customWidth="1"/>
    <col min="9045" max="9045" width="6.7109375" style="1" customWidth="1"/>
    <col min="9046" max="9046" width="6.85546875" style="1" customWidth="1"/>
    <col min="9047" max="9047" width="6.7109375" style="1" customWidth="1"/>
    <col min="9048" max="9048" width="6.28515625" style="1" customWidth="1"/>
    <col min="9049" max="9049" width="5.85546875" style="1" customWidth="1"/>
    <col min="9050" max="9050" width="7.7109375" style="1" customWidth="1"/>
    <col min="9051" max="9051" width="18.42578125" style="1" customWidth="1"/>
    <col min="9052" max="9218" width="8.42578125" style="1"/>
    <col min="9219" max="9219" width="11.140625" style="1" customWidth="1"/>
    <col min="9220" max="9220" width="18.28515625" style="1" customWidth="1"/>
    <col min="9221" max="9222" width="10.140625" style="1" customWidth="1"/>
    <col min="9223" max="9227" width="8.7109375" style="1" customWidth="1"/>
    <col min="9228" max="9228" width="9.85546875" style="1" customWidth="1"/>
    <col min="9229" max="9229" width="8.7109375" style="1" customWidth="1"/>
    <col min="9230" max="9230" width="19.140625" style="1" customWidth="1"/>
    <col min="9231" max="9242" width="5.7109375" style="1" customWidth="1"/>
    <col min="9243" max="9243" width="10.5703125" style="1" customWidth="1"/>
    <col min="9244" max="9245" width="7.140625" style="1" customWidth="1"/>
    <col min="9246" max="9246" width="18.5703125" style="1" customWidth="1"/>
    <col min="9247" max="9251" width="5.7109375" style="1" customWidth="1"/>
    <col min="9252" max="9252" width="6.140625" style="1" customWidth="1"/>
    <col min="9253" max="9264" width="5.7109375" style="1" customWidth="1"/>
    <col min="9265" max="9265" width="6.42578125" style="1" customWidth="1"/>
    <col min="9266" max="9266" width="6.85546875" style="1" customWidth="1"/>
    <col min="9267" max="9267" width="9" style="1" customWidth="1"/>
    <col min="9268" max="9269" width="6.7109375" style="1" customWidth="1"/>
    <col min="9270" max="9270" width="19.85546875" style="1" customWidth="1"/>
    <col min="9271" max="9285" width="5.7109375" style="1" customWidth="1"/>
    <col min="9286" max="9286" width="6.28515625" style="1" customWidth="1"/>
    <col min="9287" max="9287" width="7.28515625" style="1" customWidth="1"/>
    <col min="9288" max="9300" width="5.7109375" style="1" customWidth="1"/>
    <col min="9301" max="9301" width="6.7109375" style="1" customWidth="1"/>
    <col min="9302" max="9302" width="6.85546875" style="1" customWidth="1"/>
    <col min="9303" max="9303" width="6.7109375" style="1" customWidth="1"/>
    <col min="9304" max="9304" width="6.28515625" style="1" customWidth="1"/>
    <col min="9305" max="9305" width="5.85546875" style="1" customWidth="1"/>
    <col min="9306" max="9306" width="7.7109375" style="1" customWidth="1"/>
    <col min="9307" max="9307" width="18.42578125" style="1" customWidth="1"/>
    <col min="9308" max="9474" width="8.42578125" style="1"/>
    <col min="9475" max="9475" width="11.140625" style="1" customWidth="1"/>
    <col min="9476" max="9476" width="18.28515625" style="1" customWidth="1"/>
    <col min="9477" max="9478" width="10.140625" style="1" customWidth="1"/>
    <col min="9479" max="9483" width="8.7109375" style="1" customWidth="1"/>
    <col min="9484" max="9484" width="9.85546875" style="1" customWidth="1"/>
    <col min="9485" max="9485" width="8.7109375" style="1" customWidth="1"/>
    <col min="9486" max="9486" width="19.140625" style="1" customWidth="1"/>
    <col min="9487" max="9498" width="5.7109375" style="1" customWidth="1"/>
    <col min="9499" max="9499" width="10.5703125" style="1" customWidth="1"/>
    <col min="9500" max="9501" width="7.140625" style="1" customWidth="1"/>
    <col min="9502" max="9502" width="18.5703125" style="1" customWidth="1"/>
    <col min="9503" max="9507" width="5.7109375" style="1" customWidth="1"/>
    <col min="9508" max="9508" width="6.140625" style="1" customWidth="1"/>
    <col min="9509" max="9520" width="5.7109375" style="1" customWidth="1"/>
    <col min="9521" max="9521" width="6.42578125" style="1" customWidth="1"/>
    <col min="9522" max="9522" width="6.85546875" style="1" customWidth="1"/>
    <col min="9523" max="9523" width="9" style="1" customWidth="1"/>
    <col min="9524" max="9525" width="6.7109375" style="1" customWidth="1"/>
    <col min="9526" max="9526" width="19.85546875" style="1" customWidth="1"/>
    <col min="9527" max="9541" width="5.7109375" style="1" customWidth="1"/>
    <col min="9542" max="9542" width="6.28515625" style="1" customWidth="1"/>
    <col min="9543" max="9543" width="7.28515625" style="1" customWidth="1"/>
    <col min="9544" max="9556" width="5.7109375" style="1" customWidth="1"/>
    <col min="9557" max="9557" width="6.7109375" style="1" customWidth="1"/>
    <col min="9558" max="9558" width="6.85546875" style="1" customWidth="1"/>
    <col min="9559" max="9559" width="6.7109375" style="1" customWidth="1"/>
    <col min="9560" max="9560" width="6.28515625" style="1" customWidth="1"/>
    <col min="9561" max="9561" width="5.85546875" style="1" customWidth="1"/>
    <col min="9562" max="9562" width="7.7109375" style="1" customWidth="1"/>
    <col min="9563" max="9563" width="18.42578125" style="1" customWidth="1"/>
    <col min="9564" max="9730" width="8.42578125" style="1"/>
    <col min="9731" max="9731" width="11.140625" style="1" customWidth="1"/>
    <col min="9732" max="9732" width="18.28515625" style="1" customWidth="1"/>
    <col min="9733" max="9734" width="10.140625" style="1" customWidth="1"/>
    <col min="9735" max="9739" width="8.7109375" style="1" customWidth="1"/>
    <col min="9740" max="9740" width="9.85546875" style="1" customWidth="1"/>
    <col min="9741" max="9741" width="8.7109375" style="1" customWidth="1"/>
    <col min="9742" max="9742" width="19.140625" style="1" customWidth="1"/>
    <col min="9743" max="9754" width="5.7109375" style="1" customWidth="1"/>
    <col min="9755" max="9755" width="10.5703125" style="1" customWidth="1"/>
    <col min="9756" max="9757" width="7.140625" style="1" customWidth="1"/>
    <col min="9758" max="9758" width="18.5703125" style="1" customWidth="1"/>
    <col min="9759" max="9763" width="5.7109375" style="1" customWidth="1"/>
    <col min="9764" max="9764" width="6.140625" style="1" customWidth="1"/>
    <col min="9765" max="9776" width="5.7109375" style="1" customWidth="1"/>
    <col min="9777" max="9777" width="6.42578125" style="1" customWidth="1"/>
    <col min="9778" max="9778" width="6.85546875" style="1" customWidth="1"/>
    <col min="9779" max="9779" width="9" style="1" customWidth="1"/>
    <col min="9780" max="9781" width="6.7109375" style="1" customWidth="1"/>
    <col min="9782" max="9782" width="19.85546875" style="1" customWidth="1"/>
    <col min="9783" max="9797" width="5.7109375" style="1" customWidth="1"/>
    <col min="9798" max="9798" width="6.28515625" style="1" customWidth="1"/>
    <col min="9799" max="9799" width="7.28515625" style="1" customWidth="1"/>
    <col min="9800" max="9812" width="5.7109375" style="1" customWidth="1"/>
    <col min="9813" max="9813" width="6.7109375" style="1" customWidth="1"/>
    <col min="9814" max="9814" width="6.85546875" style="1" customWidth="1"/>
    <col min="9815" max="9815" width="6.7109375" style="1" customWidth="1"/>
    <col min="9816" max="9816" width="6.28515625" style="1" customWidth="1"/>
    <col min="9817" max="9817" width="5.85546875" style="1" customWidth="1"/>
    <col min="9818" max="9818" width="7.7109375" style="1" customWidth="1"/>
    <col min="9819" max="9819" width="18.42578125" style="1" customWidth="1"/>
    <col min="9820" max="9986" width="8.42578125" style="1"/>
    <col min="9987" max="9987" width="11.140625" style="1" customWidth="1"/>
    <col min="9988" max="9988" width="18.28515625" style="1" customWidth="1"/>
    <col min="9989" max="9990" width="10.140625" style="1" customWidth="1"/>
    <col min="9991" max="9995" width="8.7109375" style="1" customWidth="1"/>
    <col min="9996" max="9996" width="9.85546875" style="1" customWidth="1"/>
    <col min="9997" max="9997" width="8.7109375" style="1" customWidth="1"/>
    <col min="9998" max="9998" width="19.140625" style="1" customWidth="1"/>
    <col min="9999" max="10010" width="5.7109375" style="1" customWidth="1"/>
    <col min="10011" max="10011" width="10.5703125" style="1" customWidth="1"/>
    <col min="10012" max="10013" width="7.140625" style="1" customWidth="1"/>
    <col min="10014" max="10014" width="18.5703125" style="1" customWidth="1"/>
    <col min="10015" max="10019" width="5.7109375" style="1" customWidth="1"/>
    <col min="10020" max="10020" width="6.140625" style="1" customWidth="1"/>
    <col min="10021" max="10032" width="5.7109375" style="1" customWidth="1"/>
    <col min="10033" max="10033" width="6.42578125" style="1" customWidth="1"/>
    <col min="10034" max="10034" width="6.85546875" style="1" customWidth="1"/>
    <col min="10035" max="10035" width="9" style="1" customWidth="1"/>
    <col min="10036" max="10037" width="6.7109375" style="1" customWidth="1"/>
    <col min="10038" max="10038" width="19.85546875" style="1" customWidth="1"/>
    <col min="10039" max="10053" width="5.7109375" style="1" customWidth="1"/>
    <col min="10054" max="10054" width="6.28515625" style="1" customWidth="1"/>
    <col min="10055" max="10055" width="7.28515625" style="1" customWidth="1"/>
    <col min="10056" max="10068" width="5.7109375" style="1" customWidth="1"/>
    <col min="10069" max="10069" width="6.7109375" style="1" customWidth="1"/>
    <col min="10070" max="10070" width="6.85546875" style="1" customWidth="1"/>
    <col min="10071" max="10071" width="6.7109375" style="1" customWidth="1"/>
    <col min="10072" max="10072" width="6.28515625" style="1" customWidth="1"/>
    <col min="10073" max="10073" width="5.85546875" style="1" customWidth="1"/>
    <col min="10074" max="10074" width="7.7109375" style="1" customWidth="1"/>
    <col min="10075" max="10075" width="18.42578125" style="1" customWidth="1"/>
    <col min="10076" max="10242" width="8.42578125" style="1"/>
    <col min="10243" max="10243" width="11.140625" style="1" customWidth="1"/>
    <col min="10244" max="10244" width="18.28515625" style="1" customWidth="1"/>
    <col min="10245" max="10246" width="10.140625" style="1" customWidth="1"/>
    <col min="10247" max="10251" width="8.7109375" style="1" customWidth="1"/>
    <col min="10252" max="10252" width="9.85546875" style="1" customWidth="1"/>
    <col min="10253" max="10253" width="8.7109375" style="1" customWidth="1"/>
    <col min="10254" max="10254" width="19.140625" style="1" customWidth="1"/>
    <col min="10255" max="10266" width="5.7109375" style="1" customWidth="1"/>
    <col min="10267" max="10267" width="10.5703125" style="1" customWidth="1"/>
    <col min="10268" max="10269" width="7.140625" style="1" customWidth="1"/>
    <col min="10270" max="10270" width="18.5703125" style="1" customWidth="1"/>
    <col min="10271" max="10275" width="5.7109375" style="1" customWidth="1"/>
    <col min="10276" max="10276" width="6.140625" style="1" customWidth="1"/>
    <col min="10277" max="10288" width="5.7109375" style="1" customWidth="1"/>
    <col min="10289" max="10289" width="6.42578125" style="1" customWidth="1"/>
    <col min="10290" max="10290" width="6.85546875" style="1" customWidth="1"/>
    <col min="10291" max="10291" width="9" style="1" customWidth="1"/>
    <col min="10292" max="10293" width="6.7109375" style="1" customWidth="1"/>
    <col min="10294" max="10294" width="19.85546875" style="1" customWidth="1"/>
    <col min="10295" max="10309" width="5.7109375" style="1" customWidth="1"/>
    <col min="10310" max="10310" width="6.28515625" style="1" customWidth="1"/>
    <col min="10311" max="10311" width="7.28515625" style="1" customWidth="1"/>
    <col min="10312" max="10324" width="5.7109375" style="1" customWidth="1"/>
    <col min="10325" max="10325" width="6.7109375" style="1" customWidth="1"/>
    <col min="10326" max="10326" width="6.85546875" style="1" customWidth="1"/>
    <col min="10327" max="10327" width="6.7109375" style="1" customWidth="1"/>
    <col min="10328" max="10328" width="6.28515625" style="1" customWidth="1"/>
    <col min="10329" max="10329" width="5.85546875" style="1" customWidth="1"/>
    <col min="10330" max="10330" width="7.7109375" style="1" customWidth="1"/>
    <col min="10331" max="10331" width="18.42578125" style="1" customWidth="1"/>
    <col min="10332" max="10498" width="8.42578125" style="1"/>
    <col min="10499" max="10499" width="11.140625" style="1" customWidth="1"/>
    <col min="10500" max="10500" width="18.28515625" style="1" customWidth="1"/>
    <col min="10501" max="10502" width="10.140625" style="1" customWidth="1"/>
    <col min="10503" max="10507" width="8.7109375" style="1" customWidth="1"/>
    <col min="10508" max="10508" width="9.85546875" style="1" customWidth="1"/>
    <col min="10509" max="10509" width="8.7109375" style="1" customWidth="1"/>
    <col min="10510" max="10510" width="19.140625" style="1" customWidth="1"/>
    <col min="10511" max="10522" width="5.7109375" style="1" customWidth="1"/>
    <col min="10523" max="10523" width="10.5703125" style="1" customWidth="1"/>
    <col min="10524" max="10525" width="7.140625" style="1" customWidth="1"/>
    <col min="10526" max="10526" width="18.5703125" style="1" customWidth="1"/>
    <col min="10527" max="10531" width="5.7109375" style="1" customWidth="1"/>
    <col min="10532" max="10532" width="6.140625" style="1" customWidth="1"/>
    <col min="10533" max="10544" width="5.7109375" style="1" customWidth="1"/>
    <col min="10545" max="10545" width="6.42578125" style="1" customWidth="1"/>
    <col min="10546" max="10546" width="6.85546875" style="1" customWidth="1"/>
    <col min="10547" max="10547" width="9" style="1" customWidth="1"/>
    <col min="10548" max="10549" width="6.7109375" style="1" customWidth="1"/>
    <col min="10550" max="10550" width="19.85546875" style="1" customWidth="1"/>
    <col min="10551" max="10565" width="5.7109375" style="1" customWidth="1"/>
    <col min="10566" max="10566" width="6.28515625" style="1" customWidth="1"/>
    <col min="10567" max="10567" width="7.28515625" style="1" customWidth="1"/>
    <col min="10568" max="10580" width="5.7109375" style="1" customWidth="1"/>
    <col min="10581" max="10581" width="6.7109375" style="1" customWidth="1"/>
    <col min="10582" max="10582" width="6.85546875" style="1" customWidth="1"/>
    <col min="10583" max="10583" width="6.7109375" style="1" customWidth="1"/>
    <col min="10584" max="10584" width="6.28515625" style="1" customWidth="1"/>
    <col min="10585" max="10585" width="5.85546875" style="1" customWidth="1"/>
    <col min="10586" max="10586" width="7.7109375" style="1" customWidth="1"/>
    <col min="10587" max="10587" width="18.42578125" style="1" customWidth="1"/>
    <col min="10588" max="10754" width="8.42578125" style="1"/>
    <col min="10755" max="10755" width="11.140625" style="1" customWidth="1"/>
    <col min="10756" max="10756" width="18.28515625" style="1" customWidth="1"/>
    <col min="10757" max="10758" width="10.140625" style="1" customWidth="1"/>
    <col min="10759" max="10763" width="8.7109375" style="1" customWidth="1"/>
    <col min="10764" max="10764" width="9.85546875" style="1" customWidth="1"/>
    <col min="10765" max="10765" width="8.7109375" style="1" customWidth="1"/>
    <col min="10766" max="10766" width="19.140625" style="1" customWidth="1"/>
    <col min="10767" max="10778" width="5.7109375" style="1" customWidth="1"/>
    <col min="10779" max="10779" width="10.5703125" style="1" customWidth="1"/>
    <col min="10780" max="10781" width="7.140625" style="1" customWidth="1"/>
    <col min="10782" max="10782" width="18.5703125" style="1" customWidth="1"/>
    <col min="10783" max="10787" width="5.7109375" style="1" customWidth="1"/>
    <col min="10788" max="10788" width="6.140625" style="1" customWidth="1"/>
    <col min="10789" max="10800" width="5.7109375" style="1" customWidth="1"/>
    <col min="10801" max="10801" width="6.42578125" style="1" customWidth="1"/>
    <col min="10802" max="10802" width="6.85546875" style="1" customWidth="1"/>
    <col min="10803" max="10803" width="9" style="1" customWidth="1"/>
    <col min="10804" max="10805" width="6.7109375" style="1" customWidth="1"/>
    <col min="10806" max="10806" width="19.85546875" style="1" customWidth="1"/>
    <col min="10807" max="10821" width="5.7109375" style="1" customWidth="1"/>
    <col min="10822" max="10822" width="6.28515625" style="1" customWidth="1"/>
    <col min="10823" max="10823" width="7.28515625" style="1" customWidth="1"/>
    <col min="10824" max="10836" width="5.7109375" style="1" customWidth="1"/>
    <col min="10837" max="10837" width="6.7109375" style="1" customWidth="1"/>
    <col min="10838" max="10838" width="6.85546875" style="1" customWidth="1"/>
    <col min="10839" max="10839" width="6.7109375" style="1" customWidth="1"/>
    <col min="10840" max="10840" width="6.28515625" style="1" customWidth="1"/>
    <col min="10841" max="10841" width="5.85546875" style="1" customWidth="1"/>
    <col min="10842" max="10842" width="7.7109375" style="1" customWidth="1"/>
    <col min="10843" max="10843" width="18.42578125" style="1" customWidth="1"/>
    <col min="10844" max="11010" width="8.42578125" style="1"/>
    <col min="11011" max="11011" width="11.140625" style="1" customWidth="1"/>
    <col min="11012" max="11012" width="18.28515625" style="1" customWidth="1"/>
    <col min="11013" max="11014" width="10.140625" style="1" customWidth="1"/>
    <col min="11015" max="11019" width="8.7109375" style="1" customWidth="1"/>
    <col min="11020" max="11020" width="9.85546875" style="1" customWidth="1"/>
    <col min="11021" max="11021" width="8.7109375" style="1" customWidth="1"/>
    <col min="11022" max="11022" width="19.140625" style="1" customWidth="1"/>
    <col min="11023" max="11034" width="5.7109375" style="1" customWidth="1"/>
    <col min="11035" max="11035" width="10.5703125" style="1" customWidth="1"/>
    <col min="11036" max="11037" width="7.140625" style="1" customWidth="1"/>
    <col min="11038" max="11038" width="18.5703125" style="1" customWidth="1"/>
    <col min="11039" max="11043" width="5.7109375" style="1" customWidth="1"/>
    <col min="11044" max="11044" width="6.140625" style="1" customWidth="1"/>
    <col min="11045" max="11056" width="5.7109375" style="1" customWidth="1"/>
    <col min="11057" max="11057" width="6.42578125" style="1" customWidth="1"/>
    <col min="11058" max="11058" width="6.85546875" style="1" customWidth="1"/>
    <col min="11059" max="11059" width="9" style="1" customWidth="1"/>
    <col min="11060" max="11061" width="6.7109375" style="1" customWidth="1"/>
    <col min="11062" max="11062" width="19.85546875" style="1" customWidth="1"/>
    <col min="11063" max="11077" width="5.7109375" style="1" customWidth="1"/>
    <col min="11078" max="11078" width="6.28515625" style="1" customWidth="1"/>
    <col min="11079" max="11079" width="7.28515625" style="1" customWidth="1"/>
    <col min="11080" max="11092" width="5.7109375" style="1" customWidth="1"/>
    <col min="11093" max="11093" width="6.7109375" style="1" customWidth="1"/>
    <col min="11094" max="11094" width="6.85546875" style="1" customWidth="1"/>
    <col min="11095" max="11095" width="6.7109375" style="1" customWidth="1"/>
    <col min="11096" max="11096" width="6.28515625" style="1" customWidth="1"/>
    <col min="11097" max="11097" width="5.85546875" style="1" customWidth="1"/>
    <col min="11098" max="11098" width="7.7109375" style="1" customWidth="1"/>
    <col min="11099" max="11099" width="18.42578125" style="1" customWidth="1"/>
    <col min="11100" max="11266" width="8.42578125" style="1"/>
    <col min="11267" max="11267" width="11.140625" style="1" customWidth="1"/>
    <col min="11268" max="11268" width="18.28515625" style="1" customWidth="1"/>
    <col min="11269" max="11270" width="10.140625" style="1" customWidth="1"/>
    <col min="11271" max="11275" width="8.7109375" style="1" customWidth="1"/>
    <col min="11276" max="11276" width="9.85546875" style="1" customWidth="1"/>
    <col min="11277" max="11277" width="8.7109375" style="1" customWidth="1"/>
    <col min="11278" max="11278" width="19.140625" style="1" customWidth="1"/>
    <col min="11279" max="11290" width="5.7109375" style="1" customWidth="1"/>
    <col min="11291" max="11291" width="10.5703125" style="1" customWidth="1"/>
    <col min="11292" max="11293" width="7.140625" style="1" customWidth="1"/>
    <col min="11294" max="11294" width="18.5703125" style="1" customWidth="1"/>
    <col min="11295" max="11299" width="5.7109375" style="1" customWidth="1"/>
    <col min="11300" max="11300" width="6.140625" style="1" customWidth="1"/>
    <col min="11301" max="11312" width="5.7109375" style="1" customWidth="1"/>
    <col min="11313" max="11313" width="6.42578125" style="1" customWidth="1"/>
    <col min="11314" max="11314" width="6.85546875" style="1" customWidth="1"/>
    <col min="11315" max="11315" width="9" style="1" customWidth="1"/>
    <col min="11316" max="11317" width="6.7109375" style="1" customWidth="1"/>
    <col min="11318" max="11318" width="19.85546875" style="1" customWidth="1"/>
    <col min="11319" max="11333" width="5.7109375" style="1" customWidth="1"/>
    <col min="11334" max="11334" width="6.28515625" style="1" customWidth="1"/>
    <col min="11335" max="11335" width="7.28515625" style="1" customWidth="1"/>
    <col min="11336" max="11348" width="5.7109375" style="1" customWidth="1"/>
    <col min="11349" max="11349" width="6.7109375" style="1" customWidth="1"/>
    <col min="11350" max="11350" width="6.85546875" style="1" customWidth="1"/>
    <col min="11351" max="11351" width="6.7109375" style="1" customWidth="1"/>
    <col min="11352" max="11352" width="6.28515625" style="1" customWidth="1"/>
    <col min="11353" max="11353" width="5.85546875" style="1" customWidth="1"/>
    <col min="11354" max="11354" width="7.7109375" style="1" customWidth="1"/>
    <col min="11355" max="11355" width="18.42578125" style="1" customWidth="1"/>
    <col min="11356" max="11522" width="8.42578125" style="1"/>
    <col min="11523" max="11523" width="11.140625" style="1" customWidth="1"/>
    <col min="11524" max="11524" width="18.28515625" style="1" customWidth="1"/>
    <col min="11525" max="11526" width="10.140625" style="1" customWidth="1"/>
    <col min="11527" max="11531" width="8.7109375" style="1" customWidth="1"/>
    <col min="11532" max="11532" width="9.85546875" style="1" customWidth="1"/>
    <col min="11533" max="11533" width="8.7109375" style="1" customWidth="1"/>
    <col min="11534" max="11534" width="19.140625" style="1" customWidth="1"/>
    <col min="11535" max="11546" width="5.7109375" style="1" customWidth="1"/>
    <col min="11547" max="11547" width="10.5703125" style="1" customWidth="1"/>
    <col min="11548" max="11549" width="7.140625" style="1" customWidth="1"/>
    <col min="11550" max="11550" width="18.5703125" style="1" customWidth="1"/>
    <col min="11551" max="11555" width="5.7109375" style="1" customWidth="1"/>
    <col min="11556" max="11556" width="6.140625" style="1" customWidth="1"/>
    <col min="11557" max="11568" width="5.7109375" style="1" customWidth="1"/>
    <col min="11569" max="11569" width="6.42578125" style="1" customWidth="1"/>
    <col min="11570" max="11570" width="6.85546875" style="1" customWidth="1"/>
    <col min="11571" max="11571" width="9" style="1" customWidth="1"/>
    <col min="11572" max="11573" width="6.7109375" style="1" customWidth="1"/>
    <col min="11574" max="11574" width="19.85546875" style="1" customWidth="1"/>
    <col min="11575" max="11589" width="5.7109375" style="1" customWidth="1"/>
    <col min="11590" max="11590" width="6.28515625" style="1" customWidth="1"/>
    <col min="11591" max="11591" width="7.28515625" style="1" customWidth="1"/>
    <col min="11592" max="11604" width="5.7109375" style="1" customWidth="1"/>
    <col min="11605" max="11605" width="6.7109375" style="1" customWidth="1"/>
    <col min="11606" max="11606" width="6.85546875" style="1" customWidth="1"/>
    <col min="11607" max="11607" width="6.7109375" style="1" customWidth="1"/>
    <col min="11608" max="11608" width="6.28515625" style="1" customWidth="1"/>
    <col min="11609" max="11609" width="5.85546875" style="1" customWidth="1"/>
    <col min="11610" max="11610" width="7.7109375" style="1" customWidth="1"/>
    <col min="11611" max="11611" width="18.42578125" style="1" customWidth="1"/>
    <col min="11612" max="11778" width="8.42578125" style="1"/>
    <col min="11779" max="11779" width="11.140625" style="1" customWidth="1"/>
    <col min="11780" max="11780" width="18.28515625" style="1" customWidth="1"/>
    <col min="11781" max="11782" width="10.140625" style="1" customWidth="1"/>
    <col min="11783" max="11787" width="8.7109375" style="1" customWidth="1"/>
    <col min="11788" max="11788" width="9.85546875" style="1" customWidth="1"/>
    <col min="11789" max="11789" width="8.7109375" style="1" customWidth="1"/>
    <col min="11790" max="11790" width="19.140625" style="1" customWidth="1"/>
    <col min="11791" max="11802" width="5.7109375" style="1" customWidth="1"/>
    <col min="11803" max="11803" width="10.5703125" style="1" customWidth="1"/>
    <col min="11804" max="11805" width="7.140625" style="1" customWidth="1"/>
    <col min="11806" max="11806" width="18.5703125" style="1" customWidth="1"/>
    <col min="11807" max="11811" width="5.7109375" style="1" customWidth="1"/>
    <col min="11812" max="11812" width="6.140625" style="1" customWidth="1"/>
    <col min="11813" max="11824" width="5.7109375" style="1" customWidth="1"/>
    <col min="11825" max="11825" width="6.42578125" style="1" customWidth="1"/>
    <col min="11826" max="11826" width="6.85546875" style="1" customWidth="1"/>
    <col min="11827" max="11827" width="9" style="1" customWidth="1"/>
    <col min="11828" max="11829" width="6.7109375" style="1" customWidth="1"/>
    <col min="11830" max="11830" width="19.85546875" style="1" customWidth="1"/>
    <col min="11831" max="11845" width="5.7109375" style="1" customWidth="1"/>
    <col min="11846" max="11846" width="6.28515625" style="1" customWidth="1"/>
    <col min="11847" max="11847" width="7.28515625" style="1" customWidth="1"/>
    <col min="11848" max="11860" width="5.7109375" style="1" customWidth="1"/>
    <col min="11861" max="11861" width="6.7109375" style="1" customWidth="1"/>
    <col min="11862" max="11862" width="6.85546875" style="1" customWidth="1"/>
    <col min="11863" max="11863" width="6.7109375" style="1" customWidth="1"/>
    <col min="11864" max="11864" width="6.28515625" style="1" customWidth="1"/>
    <col min="11865" max="11865" width="5.85546875" style="1" customWidth="1"/>
    <col min="11866" max="11866" width="7.7109375" style="1" customWidth="1"/>
    <col min="11867" max="11867" width="18.42578125" style="1" customWidth="1"/>
    <col min="11868" max="12034" width="8.42578125" style="1"/>
    <col min="12035" max="12035" width="11.140625" style="1" customWidth="1"/>
    <col min="12036" max="12036" width="18.28515625" style="1" customWidth="1"/>
    <col min="12037" max="12038" width="10.140625" style="1" customWidth="1"/>
    <col min="12039" max="12043" width="8.7109375" style="1" customWidth="1"/>
    <col min="12044" max="12044" width="9.85546875" style="1" customWidth="1"/>
    <col min="12045" max="12045" width="8.7109375" style="1" customWidth="1"/>
    <col min="12046" max="12046" width="19.140625" style="1" customWidth="1"/>
    <col min="12047" max="12058" width="5.7109375" style="1" customWidth="1"/>
    <col min="12059" max="12059" width="10.5703125" style="1" customWidth="1"/>
    <col min="12060" max="12061" width="7.140625" style="1" customWidth="1"/>
    <col min="12062" max="12062" width="18.5703125" style="1" customWidth="1"/>
    <col min="12063" max="12067" width="5.7109375" style="1" customWidth="1"/>
    <col min="12068" max="12068" width="6.140625" style="1" customWidth="1"/>
    <col min="12069" max="12080" width="5.7109375" style="1" customWidth="1"/>
    <col min="12081" max="12081" width="6.42578125" style="1" customWidth="1"/>
    <col min="12082" max="12082" width="6.85546875" style="1" customWidth="1"/>
    <col min="12083" max="12083" width="9" style="1" customWidth="1"/>
    <col min="12084" max="12085" width="6.7109375" style="1" customWidth="1"/>
    <col min="12086" max="12086" width="19.85546875" style="1" customWidth="1"/>
    <col min="12087" max="12101" width="5.7109375" style="1" customWidth="1"/>
    <col min="12102" max="12102" width="6.28515625" style="1" customWidth="1"/>
    <col min="12103" max="12103" width="7.28515625" style="1" customWidth="1"/>
    <col min="12104" max="12116" width="5.7109375" style="1" customWidth="1"/>
    <col min="12117" max="12117" width="6.7109375" style="1" customWidth="1"/>
    <col min="12118" max="12118" width="6.85546875" style="1" customWidth="1"/>
    <col min="12119" max="12119" width="6.7109375" style="1" customWidth="1"/>
    <col min="12120" max="12120" width="6.28515625" style="1" customWidth="1"/>
    <col min="12121" max="12121" width="5.85546875" style="1" customWidth="1"/>
    <col min="12122" max="12122" width="7.7109375" style="1" customWidth="1"/>
    <col min="12123" max="12123" width="18.42578125" style="1" customWidth="1"/>
    <col min="12124" max="12290" width="8.42578125" style="1"/>
    <col min="12291" max="12291" width="11.140625" style="1" customWidth="1"/>
    <col min="12292" max="12292" width="18.28515625" style="1" customWidth="1"/>
    <col min="12293" max="12294" width="10.140625" style="1" customWidth="1"/>
    <col min="12295" max="12299" width="8.7109375" style="1" customWidth="1"/>
    <col min="12300" max="12300" width="9.85546875" style="1" customWidth="1"/>
    <col min="12301" max="12301" width="8.7109375" style="1" customWidth="1"/>
    <col min="12302" max="12302" width="19.140625" style="1" customWidth="1"/>
    <col min="12303" max="12314" width="5.7109375" style="1" customWidth="1"/>
    <col min="12315" max="12315" width="10.5703125" style="1" customWidth="1"/>
    <col min="12316" max="12317" width="7.140625" style="1" customWidth="1"/>
    <col min="12318" max="12318" width="18.5703125" style="1" customWidth="1"/>
    <col min="12319" max="12323" width="5.7109375" style="1" customWidth="1"/>
    <col min="12324" max="12324" width="6.140625" style="1" customWidth="1"/>
    <col min="12325" max="12336" width="5.7109375" style="1" customWidth="1"/>
    <col min="12337" max="12337" width="6.42578125" style="1" customWidth="1"/>
    <col min="12338" max="12338" width="6.85546875" style="1" customWidth="1"/>
    <col min="12339" max="12339" width="9" style="1" customWidth="1"/>
    <col min="12340" max="12341" width="6.7109375" style="1" customWidth="1"/>
    <col min="12342" max="12342" width="19.85546875" style="1" customWidth="1"/>
    <col min="12343" max="12357" width="5.7109375" style="1" customWidth="1"/>
    <col min="12358" max="12358" width="6.28515625" style="1" customWidth="1"/>
    <col min="12359" max="12359" width="7.28515625" style="1" customWidth="1"/>
    <col min="12360" max="12372" width="5.7109375" style="1" customWidth="1"/>
    <col min="12373" max="12373" width="6.7109375" style="1" customWidth="1"/>
    <col min="12374" max="12374" width="6.85546875" style="1" customWidth="1"/>
    <col min="12375" max="12375" width="6.7109375" style="1" customWidth="1"/>
    <col min="12376" max="12376" width="6.28515625" style="1" customWidth="1"/>
    <col min="12377" max="12377" width="5.85546875" style="1" customWidth="1"/>
    <col min="12378" max="12378" width="7.7109375" style="1" customWidth="1"/>
    <col min="12379" max="12379" width="18.42578125" style="1" customWidth="1"/>
    <col min="12380" max="12546" width="8.42578125" style="1"/>
    <col min="12547" max="12547" width="11.140625" style="1" customWidth="1"/>
    <col min="12548" max="12548" width="18.28515625" style="1" customWidth="1"/>
    <col min="12549" max="12550" width="10.140625" style="1" customWidth="1"/>
    <col min="12551" max="12555" width="8.7109375" style="1" customWidth="1"/>
    <col min="12556" max="12556" width="9.85546875" style="1" customWidth="1"/>
    <col min="12557" max="12557" width="8.7109375" style="1" customWidth="1"/>
    <col min="12558" max="12558" width="19.140625" style="1" customWidth="1"/>
    <col min="12559" max="12570" width="5.7109375" style="1" customWidth="1"/>
    <col min="12571" max="12571" width="10.5703125" style="1" customWidth="1"/>
    <col min="12572" max="12573" width="7.140625" style="1" customWidth="1"/>
    <col min="12574" max="12574" width="18.5703125" style="1" customWidth="1"/>
    <col min="12575" max="12579" width="5.7109375" style="1" customWidth="1"/>
    <col min="12580" max="12580" width="6.140625" style="1" customWidth="1"/>
    <col min="12581" max="12592" width="5.7109375" style="1" customWidth="1"/>
    <col min="12593" max="12593" width="6.42578125" style="1" customWidth="1"/>
    <col min="12594" max="12594" width="6.85546875" style="1" customWidth="1"/>
    <col min="12595" max="12595" width="9" style="1" customWidth="1"/>
    <col min="12596" max="12597" width="6.7109375" style="1" customWidth="1"/>
    <col min="12598" max="12598" width="19.85546875" style="1" customWidth="1"/>
    <col min="12599" max="12613" width="5.7109375" style="1" customWidth="1"/>
    <col min="12614" max="12614" width="6.28515625" style="1" customWidth="1"/>
    <col min="12615" max="12615" width="7.28515625" style="1" customWidth="1"/>
    <col min="12616" max="12628" width="5.7109375" style="1" customWidth="1"/>
    <col min="12629" max="12629" width="6.7109375" style="1" customWidth="1"/>
    <col min="12630" max="12630" width="6.85546875" style="1" customWidth="1"/>
    <col min="12631" max="12631" width="6.7109375" style="1" customWidth="1"/>
    <col min="12632" max="12632" width="6.28515625" style="1" customWidth="1"/>
    <col min="12633" max="12633" width="5.85546875" style="1" customWidth="1"/>
    <col min="12634" max="12634" width="7.7109375" style="1" customWidth="1"/>
    <col min="12635" max="12635" width="18.42578125" style="1" customWidth="1"/>
    <col min="12636" max="12802" width="8.42578125" style="1"/>
    <col min="12803" max="12803" width="11.140625" style="1" customWidth="1"/>
    <col min="12804" max="12804" width="18.28515625" style="1" customWidth="1"/>
    <col min="12805" max="12806" width="10.140625" style="1" customWidth="1"/>
    <col min="12807" max="12811" width="8.7109375" style="1" customWidth="1"/>
    <col min="12812" max="12812" width="9.85546875" style="1" customWidth="1"/>
    <col min="12813" max="12813" width="8.7109375" style="1" customWidth="1"/>
    <col min="12814" max="12814" width="19.140625" style="1" customWidth="1"/>
    <col min="12815" max="12826" width="5.7109375" style="1" customWidth="1"/>
    <col min="12827" max="12827" width="10.5703125" style="1" customWidth="1"/>
    <col min="12828" max="12829" width="7.140625" style="1" customWidth="1"/>
    <col min="12830" max="12830" width="18.5703125" style="1" customWidth="1"/>
    <col min="12831" max="12835" width="5.7109375" style="1" customWidth="1"/>
    <col min="12836" max="12836" width="6.140625" style="1" customWidth="1"/>
    <col min="12837" max="12848" width="5.7109375" style="1" customWidth="1"/>
    <col min="12849" max="12849" width="6.42578125" style="1" customWidth="1"/>
    <col min="12850" max="12850" width="6.85546875" style="1" customWidth="1"/>
    <col min="12851" max="12851" width="9" style="1" customWidth="1"/>
    <col min="12852" max="12853" width="6.7109375" style="1" customWidth="1"/>
    <col min="12854" max="12854" width="19.85546875" style="1" customWidth="1"/>
    <col min="12855" max="12869" width="5.7109375" style="1" customWidth="1"/>
    <col min="12870" max="12870" width="6.28515625" style="1" customWidth="1"/>
    <col min="12871" max="12871" width="7.28515625" style="1" customWidth="1"/>
    <col min="12872" max="12884" width="5.7109375" style="1" customWidth="1"/>
    <col min="12885" max="12885" width="6.7109375" style="1" customWidth="1"/>
    <col min="12886" max="12886" width="6.85546875" style="1" customWidth="1"/>
    <col min="12887" max="12887" width="6.7109375" style="1" customWidth="1"/>
    <col min="12888" max="12888" width="6.28515625" style="1" customWidth="1"/>
    <col min="12889" max="12889" width="5.85546875" style="1" customWidth="1"/>
    <col min="12890" max="12890" width="7.7109375" style="1" customWidth="1"/>
    <col min="12891" max="12891" width="18.42578125" style="1" customWidth="1"/>
    <col min="12892" max="13058" width="8.42578125" style="1"/>
    <col min="13059" max="13059" width="11.140625" style="1" customWidth="1"/>
    <col min="13060" max="13060" width="18.28515625" style="1" customWidth="1"/>
    <col min="13061" max="13062" width="10.140625" style="1" customWidth="1"/>
    <col min="13063" max="13067" width="8.7109375" style="1" customWidth="1"/>
    <col min="13068" max="13068" width="9.85546875" style="1" customWidth="1"/>
    <col min="13069" max="13069" width="8.7109375" style="1" customWidth="1"/>
    <col min="13070" max="13070" width="19.140625" style="1" customWidth="1"/>
    <col min="13071" max="13082" width="5.7109375" style="1" customWidth="1"/>
    <col min="13083" max="13083" width="10.5703125" style="1" customWidth="1"/>
    <col min="13084" max="13085" width="7.140625" style="1" customWidth="1"/>
    <col min="13086" max="13086" width="18.5703125" style="1" customWidth="1"/>
    <col min="13087" max="13091" width="5.7109375" style="1" customWidth="1"/>
    <col min="13092" max="13092" width="6.140625" style="1" customWidth="1"/>
    <col min="13093" max="13104" width="5.7109375" style="1" customWidth="1"/>
    <col min="13105" max="13105" width="6.42578125" style="1" customWidth="1"/>
    <col min="13106" max="13106" width="6.85546875" style="1" customWidth="1"/>
    <col min="13107" max="13107" width="9" style="1" customWidth="1"/>
    <col min="13108" max="13109" width="6.7109375" style="1" customWidth="1"/>
    <col min="13110" max="13110" width="19.85546875" style="1" customWidth="1"/>
    <col min="13111" max="13125" width="5.7109375" style="1" customWidth="1"/>
    <col min="13126" max="13126" width="6.28515625" style="1" customWidth="1"/>
    <col min="13127" max="13127" width="7.28515625" style="1" customWidth="1"/>
    <col min="13128" max="13140" width="5.7109375" style="1" customWidth="1"/>
    <col min="13141" max="13141" width="6.7109375" style="1" customWidth="1"/>
    <col min="13142" max="13142" width="6.85546875" style="1" customWidth="1"/>
    <col min="13143" max="13143" width="6.7109375" style="1" customWidth="1"/>
    <col min="13144" max="13144" width="6.28515625" style="1" customWidth="1"/>
    <col min="13145" max="13145" width="5.85546875" style="1" customWidth="1"/>
    <col min="13146" max="13146" width="7.7109375" style="1" customWidth="1"/>
    <col min="13147" max="13147" width="18.42578125" style="1" customWidth="1"/>
    <col min="13148" max="13314" width="8.42578125" style="1"/>
    <col min="13315" max="13315" width="11.140625" style="1" customWidth="1"/>
    <col min="13316" max="13316" width="18.28515625" style="1" customWidth="1"/>
    <col min="13317" max="13318" width="10.140625" style="1" customWidth="1"/>
    <col min="13319" max="13323" width="8.7109375" style="1" customWidth="1"/>
    <col min="13324" max="13324" width="9.85546875" style="1" customWidth="1"/>
    <col min="13325" max="13325" width="8.7109375" style="1" customWidth="1"/>
    <col min="13326" max="13326" width="19.140625" style="1" customWidth="1"/>
    <col min="13327" max="13338" width="5.7109375" style="1" customWidth="1"/>
    <col min="13339" max="13339" width="10.5703125" style="1" customWidth="1"/>
    <col min="13340" max="13341" width="7.140625" style="1" customWidth="1"/>
    <col min="13342" max="13342" width="18.5703125" style="1" customWidth="1"/>
    <col min="13343" max="13347" width="5.7109375" style="1" customWidth="1"/>
    <col min="13348" max="13348" width="6.140625" style="1" customWidth="1"/>
    <col min="13349" max="13360" width="5.7109375" style="1" customWidth="1"/>
    <col min="13361" max="13361" width="6.42578125" style="1" customWidth="1"/>
    <col min="13362" max="13362" width="6.85546875" style="1" customWidth="1"/>
    <col min="13363" max="13363" width="9" style="1" customWidth="1"/>
    <col min="13364" max="13365" width="6.7109375" style="1" customWidth="1"/>
    <col min="13366" max="13366" width="19.85546875" style="1" customWidth="1"/>
    <col min="13367" max="13381" width="5.7109375" style="1" customWidth="1"/>
    <col min="13382" max="13382" width="6.28515625" style="1" customWidth="1"/>
    <col min="13383" max="13383" width="7.28515625" style="1" customWidth="1"/>
    <col min="13384" max="13396" width="5.7109375" style="1" customWidth="1"/>
    <col min="13397" max="13397" width="6.7109375" style="1" customWidth="1"/>
    <col min="13398" max="13398" width="6.85546875" style="1" customWidth="1"/>
    <col min="13399" max="13399" width="6.7109375" style="1" customWidth="1"/>
    <col min="13400" max="13400" width="6.28515625" style="1" customWidth="1"/>
    <col min="13401" max="13401" width="5.85546875" style="1" customWidth="1"/>
    <col min="13402" max="13402" width="7.7109375" style="1" customWidth="1"/>
    <col min="13403" max="13403" width="18.42578125" style="1" customWidth="1"/>
    <col min="13404" max="13570" width="8.42578125" style="1"/>
    <col min="13571" max="13571" width="11.140625" style="1" customWidth="1"/>
    <col min="13572" max="13572" width="18.28515625" style="1" customWidth="1"/>
    <col min="13573" max="13574" width="10.140625" style="1" customWidth="1"/>
    <col min="13575" max="13579" width="8.7109375" style="1" customWidth="1"/>
    <col min="13580" max="13580" width="9.85546875" style="1" customWidth="1"/>
    <col min="13581" max="13581" width="8.7109375" style="1" customWidth="1"/>
    <col min="13582" max="13582" width="19.140625" style="1" customWidth="1"/>
    <col min="13583" max="13594" width="5.7109375" style="1" customWidth="1"/>
    <col min="13595" max="13595" width="10.5703125" style="1" customWidth="1"/>
    <col min="13596" max="13597" width="7.140625" style="1" customWidth="1"/>
    <col min="13598" max="13598" width="18.5703125" style="1" customWidth="1"/>
    <col min="13599" max="13603" width="5.7109375" style="1" customWidth="1"/>
    <col min="13604" max="13604" width="6.140625" style="1" customWidth="1"/>
    <col min="13605" max="13616" width="5.7109375" style="1" customWidth="1"/>
    <col min="13617" max="13617" width="6.42578125" style="1" customWidth="1"/>
    <col min="13618" max="13618" width="6.85546875" style="1" customWidth="1"/>
    <col min="13619" max="13619" width="9" style="1" customWidth="1"/>
    <col min="13620" max="13621" width="6.7109375" style="1" customWidth="1"/>
    <col min="13622" max="13622" width="19.85546875" style="1" customWidth="1"/>
    <col min="13623" max="13637" width="5.7109375" style="1" customWidth="1"/>
    <col min="13638" max="13638" width="6.28515625" style="1" customWidth="1"/>
    <col min="13639" max="13639" width="7.28515625" style="1" customWidth="1"/>
    <col min="13640" max="13652" width="5.7109375" style="1" customWidth="1"/>
    <col min="13653" max="13653" width="6.7109375" style="1" customWidth="1"/>
    <col min="13654" max="13654" width="6.85546875" style="1" customWidth="1"/>
    <col min="13655" max="13655" width="6.7109375" style="1" customWidth="1"/>
    <col min="13656" max="13656" width="6.28515625" style="1" customWidth="1"/>
    <col min="13657" max="13657" width="5.85546875" style="1" customWidth="1"/>
    <col min="13658" max="13658" width="7.7109375" style="1" customWidth="1"/>
    <col min="13659" max="13659" width="18.42578125" style="1" customWidth="1"/>
    <col min="13660" max="13826" width="8.42578125" style="1"/>
    <col min="13827" max="13827" width="11.140625" style="1" customWidth="1"/>
    <col min="13828" max="13828" width="18.28515625" style="1" customWidth="1"/>
    <col min="13829" max="13830" width="10.140625" style="1" customWidth="1"/>
    <col min="13831" max="13835" width="8.7109375" style="1" customWidth="1"/>
    <col min="13836" max="13836" width="9.85546875" style="1" customWidth="1"/>
    <col min="13837" max="13837" width="8.7109375" style="1" customWidth="1"/>
    <col min="13838" max="13838" width="19.140625" style="1" customWidth="1"/>
    <col min="13839" max="13850" width="5.7109375" style="1" customWidth="1"/>
    <col min="13851" max="13851" width="10.5703125" style="1" customWidth="1"/>
    <col min="13852" max="13853" width="7.140625" style="1" customWidth="1"/>
    <col min="13854" max="13854" width="18.5703125" style="1" customWidth="1"/>
    <col min="13855" max="13859" width="5.7109375" style="1" customWidth="1"/>
    <col min="13860" max="13860" width="6.140625" style="1" customWidth="1"/>
    <col min="13861" max="13872" width="5.7109375" style="1" customWidth="1"/>
    <col min="13873" max="13873" width="6.42578125" style="1" customWidth="1"/>
    <col min="13874" max="13874" width="6.85546875" style="1" customWidth="1"/>
    <col min="13875" max="13875" width="9" style="1" customWidth="1"/>
    <col min="13876" max="13877" width="6.7109375" style="1" customWidth="1"/>
    <col min="13878" max="13878" width="19.85546875" style="1" customWidth="1"/>
    <col min="13879" max="13893" width="5.7109375" style="1" customWidth="1"/>
    <col min="13894" max="13894" width="6.28515625" style="1" customWidth="1"/>
    <col min="13895" max="13895" width="7.28515625" style="1" customWidth="1"/>
    <col min="13896" max="13908" width="5.7109375" style="1" customWidth="1"/>
    <col min="13909" max="13909" width="6.7109375" style="1" customWidth="1"/>
    <col min="13910" max="13910" width="6.85546875" style="1" customWidth="1"/>
    <col min="13911" max="13911" width="6.7109375" style="1" customWidth="1"/>
    <col min="13912" max="13912" width="6.28515625" style="1" customWidth="1"/>
    <col min="13913" max="13913" width="5.85546875" style="1" customWidth="1"/>
    <col min="13914" max="13914" width="7.7109375" style="1" customWidth="1"/>
    <col min="13915" max="13915" width="18.42578125" style="1" customWidth="1"/>
    <col min="13916" max="14082" width="8.42578125" style="1"/>
    <col min="14083" max="14083" width="11.140625" style="1" customWidth="1"/>
    <col min="14084" max="14084" width="18.28515625" style="1" customWidth="1"/>
    <col min="14085" max="14086" width="10.140625" style="1" customWidth="1"/>
    <col min="14087" max="14091" width="8.7109375" style="1" customWidth="1"/>
    <col min="14092" max="14092" width="9.85546875" style="1" customWidth="1"/>
    <col min="14093" max="14093" width="8.7109375" style="1" customWidth="1"/>
    <col min="14094" max="14094" width="19.140625" style="1" customWidth="1"/>
    <col min="14095" max="14106" width="5.7109375" style="1" customWidth="1"/>
    <col min="14107" max="14107" width="10.5703125" style="1" customWidth="1"/>
    <col min="14108" max="14109" width="7.140625" style="1" customWidth="1"/>
    <col min="14110" max="14110" width="18.5703125" style="1" customWidth="1"/>
    <col min="14111" max="14115" width="5.7109375" style="1" customWidth="1"/>
    <col min="14116" max="14116" width="6.140625" style="1" customWidth="1"/>
    <col min="14117" max="14128" width="5.7109375" style="1" customWidth="1"/>
    <col min="14129" max="14129" width="6.42578125" style="1" customWidth="1"/>
    <col min="14130" max="14130" width="6.85546875" style="1" customWidth="1"/>
    <col min="14131" max="14131" width="9" style="1" customWidth="1"/>
    <col min="14132" max="14133" width="6.7109375" style="1" customWidth="1"/>
    <col min="14134" max="14134" width="19.85546875" style="1" customWidth="1"/>
    <col min="14135" max="14149" width="5.7109375" style="1" customWidth="1"/>
    <col min="14150" max="14150" width="6.28515625" style="1" customWidth="1"/>
    <col min="14151" max="14151" width="7.28515625" style="1" customWidth="1"/>
    <col min="14152" max="14164" width="5.7109375" style="1" customWidth="1"/>
    <col min="14165" max="14165" width="6.7109375" style="1" customWidth="1"/>
    <col min="14166" max="14166" width="6.85546875" style="1" customWidth="1"/>
    <col min="14167" max="14167" width="6.7109375" style="1" customWidth="1"/>
    <col min="14168" max="14168" width="6.28515625" style="1" customWidth="1"/>
    <col min="14169" max="14169" width="5.85546875" style="1" customWidth="1"/>
    <col min="14170" max="14170" width="7.7109375" style="1" customWidth="1"/>
    <col min="14171" max="14171" width="18.42578125" style="1" customWidth="1"/>
    <col min="14172" max="14338" width="8.42578125" style="1"/>
    <col min="14339" max="14339" width="11.140625" style="1" customWidth="1"/>
    <col min="14340" max="14340" width="18.28515625" style="1" customWidth="1"/>
    <col min="14341" max="14342" width="10.140625" style="1" customWidth="1"/>
    <col min="14343" max="14347" width="8.7109375" style="1" customWidth="1"/>
    <col min="14348" max="14348" width="9.85546875" style="1" customWidth="1"/>
    <col min="14349" max="14349" width="8.7109375" style="1" customWidth="1"/>
    <col min="14350" max="14350" width="19.140625" style="1" customWidth="1"/>
    <col min="14351" max="14362" width="5.7109375" style="1" customWidth="1"/>
    <col min="14363" max="14363" width="10.5703125" style="1" customWidth="1"/>
    <col min="14364" max="14365" width="7.140625" style="1" customWidth="1"/>
    <col min="14366" max="14366" width="18.5703125" style="1" customWidth="1"/>
    <col min="14367" max="14371" width="5.7109375" style="1" customWidth="1"/>
    <col min="14372" max="14372" width="6.140625" style="1" customWidth="1"/>
    <col min="14373" max="14384" width="5.7109375" style="1" customWidth="1"/>
    <col min="14385" max="14385" width="6.42578125" style="1" customWidth="1"/>
    <col min="14386" max="14386" width="6.85546875" style="1" customWidth="1"/>
    <col min="14387" max="14387" width="9" style="1" customWidth="1"/>
    <col min="14388" max="14389" width="6.7109375" style="1" customWidth="1"/>
    <col min="14390" max="14390" width="19.85546875" style="1" customWidth="1"/>
    <col min="14391" max="14405" width="5.7109375" style="1" customWidth="1"/>
    <col min="14406" max="14406" width="6.28515625" style="1" customWidth="1"/>
    <col min="14407" max="14407" width="7.28515625" style="1" customWidth="1"/>
    <col min="14408" max="14420" width="5.7109375" style="1" customWidth="1"/>
    <col min="14421" max="14421" width="6.7109375" style="1" customWidth="1"/>
    <col min="14422" max="14422" width="6.85546875" style="1" customWidth="1"/>
    <col min="14423" max="14423" width="6.7109375" style="1" customWidth="1"/>
    <col min="14424" max="14424" width="6.28515625" style="1" customWidth="1"/>
    <col min="14425" max="14425" width="5.85546875" style="1" customWidth="1"/>
    <col min="14426" max="14426" width="7.7109375" style="1" customWidth="1"/>
    <col min="14427" max="14427" width="18.42578125" style="1" customWidth="1"/>
    <col min="14428" max="14594" width="8.42578125" style="1"/>
    <col min="14595" max="14595" width="11.140625" style="1" customWidth="1"/>
    <col min="14596" max="14596" width="18.28515625" style="1" customWidth="1"/>
    <col min="14597" max="14598" width="10.140625" style="1" customWidth="1"/>
    <col min="14599" max="14603" width="8.7109375" style="1" customWidth="1"/>
    <col min="14604" max="14604" width="9.85546875" style="1" customWidth="1"/>
    <col min="14605" max="14605" width="8.7109375" style="1" customWidth="1"/>
    <col min="14606" max="14606" width="19.140625" style="1" customWidth="1"/>
    <col min="14607" max="14618" width="5.7109375" style="1" customWidth="1"/>
    <col min="14619" max="14619" width="10.5703125" style="1" customWidth="1"/>
    <col min="14620" max="14621" width="7.140625" style="1" customWidth="1"/>
    <col min="14622" max="14622" width="18.5703125" style="1" customWidth="1"/>
    <col min="14623" max="14627" width="5.7109375" style="1" customWidth="1"/>
    <col min="14628" max="14628" width="6.140625" style="1" customWidth="1"/>
    <col min="14629" max="14640" width="5.7109375" style="1" customWidth="1"/>
    <col min="14641" max="14641" width="6.42578125" style="1" customWidth="1"/>
    <col min="14642" max="14642" width="6.85546875" style="1" customWidth="1"/>
    <col min="14643" max="14643" width="9" style="1" customWidth="1"/>
    <col min="14644" max="14645" width="6.7109375" style="1" customWidth="1"/>
    <col min="14646" max="14646" width="19.85546875" style="1" customWidth="1"/>
    <col min="14647" max="14661" width="5.7109375" style="1" customWidth="1"/>
    <col min="14662" max="14662" width="6.28515625" style="1" customWidth="1"/>
    <col min="14663" max="14663" width="7.28515625" style="1" customWidth="1"/>
    <col min="14664" max="14676" width="5.7109375" style="1" customWidth="1"/>
    <col min="14677" max="14677" width="6.7109375" style="1" customWidth="1"/>
    <col min="14678" max="14678" width="6.85546875" style="1" customWidth="1"/>
    <col min="14679" max="14679" width="6.7109375" style="1" customWidth="1"/>
    <col min="14680" max="14680" width="6.28515625" style="1" customWidth="1"/>
    <col min="14681" max="14681" width="5.85546875" style="1" customWidth="1"/>
    <col min="14682" max="14682" width="7.7109375" style="1" customWidth="1"/>
    <col min="14683" max="14683" width="18.42578125" style="1" customWidth="1"/>
    <col min="14684" max="14850" width="8.42578125" style="1"/>
    <col min="14851" max="14851" width="11.140625" style="1" customWidth="1"/>
    <col min="14852" max="14852" width="18.28515625" style="1" customWidth="1"/>
    <col min="14853" max="14854" width="10.140625" style="1" customWidth="1"/>
    <col min="14855" max="14859" width="8.7109375" style="1" customWidth="1"/>
    <col min="14860" max="14860" width="9.85546875" style="1" customWidth="1"/>
    <col min="14861" max="14861" width="8.7109375" style="1" customWidth="1"/>
    <col min="14862" max="14862" width="19.140625" style="1" customWidth="1"/>
    <col min="14863" max="14874" width="5.7109375" style="1" customWidth="1"/>
    <col min="14875" max="14875" width="10.5703125" style="1" customWidth="1"/>
    <col min="14876" max="14877" width="7.140625" style="1" customWidth="1"/>
    <col min="14878" max="14878" width="18.5703125" style="1" customWidth="1"/>
    <col min="14879" max="14883" width="5.7109375" style="1" customWidth="1"/>
    <col min="14884" max="14884" width="6.140625" style="1" customWidth="1"/>
    <col min="14885" max="14896" width="5.7109375" style="1" customWidth="1"/>
    <col min="14897" max="14897" width="6.42578125" style="1" customWidth="1"/>
    <col min="14898" max="14898" width="6.85546875" style="1" customWidth="1"/>
    <col min="14899" max="14899" width="9" style="1" customWidth="1"/>
    <col min="14900" max="14901" width="6.7109375" style="1" customWidth="1"/>
    <col min="14902" max="14902" width="19.85546875" style="1" customWidth="1"/>
    <col min="14903" max="14917" width="5.7109375" style="1" customWidth="1"/>
    <col min="14918" max="14918" width="6.28515625" style="1" customWidth="1"/>
    <col min="14919" max="14919" width="7.28515625" style="1" customWidth="1"/>
    <col min="14920" max="14932" width="5.7109375" style="1" customWidth="1"/>
    <col min="14933" max="14933" width="6.7109375" style="1" customWidth="1"/>
    <col min="14934" max="14934" width="6.85546875" style="1" customWidth="1"/>
    <col min="14935" max="14935" width="6.7109375" style="1" customWidth="1"/>
    <col min="14936" max="14936" width="6.28515625" style="1" customWidth="1"/>
    <col min="14937" max="14937" width="5.85546875" style="1" customWidth="1"/>
    <col min="14938" max="14938" width="7.7109375" style="1" customWidth="1"/>
    <col min="14939" max="14939" width="18.42578125" style="1" customWidth="1"/>
    <col min="14940" max="15106" width="8.42578125" style="1"/>
    <col min="15107" max="15107" width="11.140625" style="1" customWidth="1"/>
    <col min="15108" max="15108" width="18.28515625" style="1" customWidth="1"/>
    <col min="15109" max="15110" width="10.140625" style="1" customWidth="1"/>
    <col min="15111" max="15115" width="8.7109375" style="1" customWidth="1"/>
    <col min="15116" max="15116" width="9.85546875" style="1" customWidth="1"/>
    <col min="15117" max="15117" width="8.7109375" style="1" customWidth="1"/>
    <col min="15118" max="15118" width="19.140625" style="1" customWidth="1"/>
    <col min="15119" max="15130" width="5.7109375" style="1" customWidth="1"/>
    <col min="15131" max="15131" width="10.5703125" style="1" customWidth="1"/>
    <col min="15132" max="15133" width="7.140625" style="1" customWidth="1"/>
    <col min="15134" max="15134" width="18.5703125" style="1" customWidth="1"/>
    <col min="15135" max="15139" width="5.7109375" style="1" customWidth="1"/>
    <col min="15140" max="15140" width="6.140625" style="1" customWidth="1"/>
    <col min="15141" max="15152" width="5.7109375" style="1" customWidth="1"/>
    <col min="15153" max="15153" width="6.42578125" style="1" customWidth="1"/>
    <col min="15154" max="15154" width="6.85546875" style="1" customWidth="1"/>
    <col min="15155" max="15155" width="9" style="1" customWidth="1"/>
    <col min="15156" max="15157" width="6.7109375" style="1" customWidth="1"/>
    <col min="15158" max="15158" width="19.85546875" style="1" customWidth="1"/>
    <col min="15159" max="15173" width="5.7109375" style="1" customWidth="1"/>
    <col min="15174" max="15174" width="6.28515625" style="1" customWidth="1"/>
    <col min="15175" max="15175" width="7.28515625" style="1" customWidth="1"/>
    <col min="15176" max="15188" width="5.7109375" style="1" customWidth="1"/>
    <col min="15189" max="15189" width="6.7109375" style="1" customWidth="1"/>
    <col min="15190" max="15190" width="6.85546875" style="1" customWidth="1"/>
    <col min="15191" max="15191" width="6.7109375" style="1" customWidth="1"/>
    <col min="15192" max="15192" width="6.28515625" style="1" customWidth="1"/>
    <col min="15193" max="15193" width="5.85546875" style="1" customWidth="1"/>
    <col min="15194" max="15194" width="7.7109375" style="1" customWidth="1"/>
    <col min="15195" max="15195" width="18.42578125" style="1" customWidth="1"/>
    <col min="15196" max="15362" width="8.42578125" style="1"/>
    <col min="15363" max="15363" width="11.140625" style="1" customWidth="1"/>
    <col min="15364" max="15364" width="18.28515625" style="1" customWidth="1"/>
    <col min="15365" max="15366" width="10.140625" style="1" customWidth="1"/>
    <col min="15367" max="15371" width="8.7109375" style="1" customWidth="1"/>
    <col min="15372" max="15372" width="9.85546875" style="1" customWidth="1"/>
    <col min="15373" max="15373" width="8.7109375" style="1" customWidth="1"/>
    <col min="15374" max="15374" width="19.140625" style="1" customWidth="1"/>
    <col min="15375" max="15386" width="5.7109375" style="1" customWidth="1"/>
    <col min="15387" max="15387" width="10.5703125" style="1" customWidth="1"/>
    <col min="15388" max="15389" width="7.140625" style="1" customWidth="1"/>
    <col min="15390" max="15390" width="18.5703125" style="1" customWidth="1"/>
    <col min="15391" max="15395" width="5.7109375" style="1" customWidth="1"/>
    <col min="15396" max="15396" width="6.140625" style="1" customWidth="1"/>
    <col min="15397" max="15408" width="5.7109375" style="1" customWidth="1"/>
    <col min="15409" max="15409" width="6.42578125" style="1" customWidth="1"/>
    <col min="15410" max="15410" width="6.85546875" style="1" customWidth="1"/>
    <col min="15411" max="15411" width="9" style="1" customWidth="1"/>
    <col min="15412" max="15413" width="6.7109375" style="1" customWidth="1"/>
    <col min="15414" max="15414" width="19.85546875" style="1" customWidth="1"/>
    <col min="15415" max="15429" width="5.7109375" style="1" customWidth="1"/>
    <col min="15430" max="15430" width="6.28515625" style="1" customWidth="1"/>
    <col min="15431" max="15431" width="7.28515625" style="1" customWidth="1"/>
    <col min="15432" max="15444" width="5.7109375" style="1" customWidth="1"/>
    <col min="15445" max="15445" width="6.7109375" style="1" customWidth="1"/>
    <col min="15446" max="15446" width="6.85546875" style="1" customWidth="1"/>
    <col min="15447" max="15447" width="6.7109375" style="1" customWidth="1"/>
    <col min="15448" max="15448" width="6.28515625" style="1" customWidth="1"/>
    <col min="15449" max="15449" width="5.85546875" style="1" customWidth="1"/>
    <col min="15450" max="15450" width="7.7109375" style="1" customWidth="1"/>
    <col min="15451" max="15451" width="18.42578125" style="1" customWidth="1"/>
    <col min="15452" max="15618" width="8.42578125" style="1"/>
    <col min="15619" max="15619" width="11.140625" style="1" customWidth="1"/>
    <col min="15620" max="15620" width="18.28515625" style="1" customWidth="1"/>
    <col min="15621" max="15622" width="10.140625" style="1" customWidth="1"/>
    <col min="15623" max="15627" width="8.7109375" style="1" customWidth="1"/>
    <col min="15628" max="15628" width="9.85546875" style="1" customWidth="1"/>
    <col min="15629" max="15629" width="8.7109375" style="1" customWidth="1"/>
    <col min="15630" max="15630" width="19.140625" style="1" customWidth="1"/>
    <col min="15631" max="15642" width="5.7109375" style="1" customWidth="1"/>
    <col min="15643" max="15643" width="10.5703125" style="1" customWidth="1"/>
    <col min="15644" max="15645" width="7.140625" style="1" customWidth="1"/>
    <col min="15646" max="15646" width="18.5703125" style="1" customWidth="1"/>
    <col min="15647" max="15651" width="5.7109375" style="1" customWidth="1"/>
    <col min="15652" max="15652" width="6.140625" style="1" customWidth="1"/>
    <col min="15653" max="15664" width="5.7109375" style="1" customWidth="1"/>
    <col min="15665" max="15665" width="6.42578125" style="1" customWidth="1"/>
    <col min="15666" max="15666" width="6.85546875" style="1" customWidth="1"/>
    <col min="15667" max="15667" width="9" style="1" customWidth="1"/>
    <col min="15668" max="15669" width="6.7109375" style="1" customWidth="1"/>
    <col min="15670" max="15670" width="19.85546875" style="1" customWidth="1"/>
    <col min="15671" max="15685" width="5.7109375" style="1" customWidth="1"/>
    <col min="15686" max="15686" width="6.28515625" style="1" customWidth="1"/>
    <col min="15687" max="15687" width="7.28515625" style="1" customWidth="1"/>
    <col min="15688" max="15700" width="5.7109375" style="1" customWidth="1"/>
    <col min="15701" max="15701" width="6.7109375" style="1" customWidth="1"/>
    <col min="15702" max="15702" width="6.85546875" style="1" customWidth="1"/>
    <col min="15703" max="15703" width="6.7109375" style="1" customWidth="1"/>
    <col min="15704" max="15704" width="6.28515625" style="1" customWidth="1"/>
    <col min="15705" max="15705" width="5.85546875" style="1" customWidth="1"/>
    <col min="15706" max="15706" width="7.7109375" style="1" customWidth="1"/>
    <col min="15707" max="15707" width="18.42578125" style="1" customWidth="1"/>
    <col min="15708" max="15874" width="8.42578125" style="1"/>
    <col min="15875" max="15875" width="11.140625" style="1" customWidth="1"/>
    <col min="15876" max="15876" width="18.28515625" style="1" customWidth="1"/>
    <col min="15877" max="15878" width="10.140625" style="1" customWidth="1"/>
    <col min="15879" max="15883" width="8.7109375" style="1" customWidth="1"/>
    <col min="15884" max="15884" width="9.85546875" style="1" customWidth="1"/>
    <col min="15885" max="15885" width="8.7109375" style="1" customWidth="1"/>
    <col min="15886" max="15886" width="19.140625" style="1" customWidth="1"/>
    <col min="15887" max="15898" width="5.7109375" style="1" customWidth="1"/>
    <col min="15899" max="15899" width="10.5703125" style="1" customWidth="1"/>
    <col min="15900" max="15901" width="7.140625" style="1" customWidth="1"/>
    <col min="15902" max="15902" width="18.5703125" style="1" customWidth="1"/>
    <col min="15903" max="15907" width="5.7109375" style="1" customWidth="1"/>
    <col min="15908" max="15908" width="6.140625" style="1" customWidth="1"/>
    <col min="15909" max="15920" width="5.7109375" style="1" customWidth="1"/>
    <col min="15921" max="15921" width="6.42578125" style="1" customWidth="1"/>
    <col min="15922" max="15922" width="6.85546875" style="1" customWidth="1"/>
    <col min="15923" max="15923" width="9" style="1" customWidth="1"/>
    <col min="15924" max="15925" width="6.7109375" style="1" customWidth="1"/>
    <col min="15926" max="15926" width="19.85546875" style="1" customWidth="1"/>
    <col min="15927" max="15941" width="5.7109375" style="1" customWidth="1"/>
    <col min="15942" max="15942" width="6.28515625" style="1" customWidth="1"/>
    <col min="15943" max="15943" width="7.28515625" style="1" customWidth="1"/>
    <col min="15944" max="15956" width="5.7109375" style="1" customWidth="1"/>
    <col min="15957" max="15957" width="6.7109375" style="1" customWidth="1"/>
    <col min="15958" max="15958" width="6.85546875" style="1" customWidth="1"/>
    <col min="15959" max="15959" width="6.7109375" style="1" customWidth="1"/>
    <col min="15960" max="15960" width="6.28515625" style="1" customWidth="1"/>
    <col min="15961" max="15961" width="5.85546875" style="1" customWidth="1"/>
    <col min="15962" max="15962" width="7.7109375" style="1" customWidth="1"/>
    <col min="15963" max="15963" width="18.42578125" style="1" customWidth="1"/>
    <col min="15964" max="16130" width="8.42578125" style="1"/>
    <col min="16131" max="16131" width="11.140625" style="1" customWidth="1"/>
    <col min="16132" max="16132" width="18.28515625" style="1" customWidth="1"/>
    <col min="16133" max="16134" width="10.140625" style="1" customWidth="1"/>
    <col min="16135" max="16139" width="8.7109375" style="1" customWidth="1"/>
    <col min="16140" max="16140" width="9.85546875" style="1" customWidth="1"/>
    <col min="16141" max="16141" width="8.7109375" style="1" customWidth="1"/>
    <col min="16142" max="16142" width="19.140625" style="1" customWidth="1"/>
    <col min="16143" max="16154" width="5.7109375" style="1" customWidth="1"/>
    <col min="16155" max="16155" width="10.5703125" style="1" customWidth="1"/>
    <col min="16156" max="16157" width="7.140625" style="1" customWidth="1"/>
    <col min="16158" max="16158" width="18.5703125" style="1" customWidth="1"/>
    <col min="16159" max="16163" width="5.7109375" style="1" customWidth="1"/>
    <col min="16164" max="16164" width="6.140625" style="1" customWidth="1"/>
    <col min="16165" max="16176" width="5.7109375" style="1" customWidth="1"/>
    <col min="16177" max="16177" width="6.42578125" style="1" customWidth="1"/>
    <col min="16178" max="16178" width="6.85546875" style="1" customWidth="1"/>
    <col min="16179" max="16179" width="9" style="1" customWidth="1"/>
    <col min="16180" max="16181" width="6.7109375" style="1" customWidth="1"/>
    <col min="16182" max="16182" width="19.85546875" style="1" customWidth="1"/>
    <col min="16183" max="16197" width="5.7109375" style="1" customWidth="1"/>
    <col min="16198" max="16198" width="6.28515625" style="1" customWidth="1"/>
    <col min="16199" max="16199" width="7.28515625" style="1" customWidth="1"/>
    <col min="16200" max="16212" width="5.7109375" style="1" customWidth="1"/>
    <col min="16213" max="16213" width="6.7109375" style="1" customWidth="1"/>
    <col min="16214" max="16214" width="6.85546875" style="1" customWidth="1"/>
    <col min="16215" max="16215" width="6.7109375" style="1" customWidth="1"/>
    <col min="16216" max="16216" width="6.28515625" style="1" customWidth="1"/>
    <col min="16217" max="16217" width="5.85546875" style="1" customWidth="1"/>
    <col min="16218" max="16218" width="7.7109375" style="1" customWidth="1"/>
    <col min="16219" max="16219" width="18.42578125" style="1" customWidth="1"/>
    <col min="16220" max="16384" width="8.42578125" style="1"/>
  </cols>
  <sheetData>
    <row r="1" spans="1:91">
      <c r="B1" s="370" t="s">
        <v>394</v>
      </c>
      <c r="C1" s="370"/>
      <c r="D1" s="370"/>
      <c r="E1" s="370"/>
      <c r="F1" s="370"/>
      <c r="G1" s="370"/>
      <c r="H1" s="370"/>
      <c r="I1" s="370"/>
      <c r="J1" s="370"/>
      <c r="K1" s="370"/>
      <c r="L1" s="364" t="s">
        <v>244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 t="s">
        <v>396</v>
      </c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364"/>
      <c r="AO1" s="364"/>
      <c r="AP1" s="364"/>
      <c r="AQ1" s="364"/>
      <c r="AR1" s="364"/>
      <c r="AS1" s="364"/>
      <c r="AT1" s="364"/>
      <c r="AU1" s="364"/>
      <c r="AV1" s="364"/>
      <c r="AW1" s="364"/>
      <c r="AX1" s="364"/>
      <c r="AY1" s="364"/>
      <c r="AZ1" s="235" t="s">
        <v>245</v>
      </c>
      <c r="BA1" s="105" t="s">
        <v>71</v>
      </c>
      <c r="BB1" s="105"/>
      <c r="BC1" s="105"/>
      <c r="BD1" s="105"/>
      <c r="BE1" s="105"/>
      <c r="BF1" s="62"/>
      <c r="BG1" s="105" t="s">
        <v>246</v>
      </c>
      <c r="BH1" s="105"/>
      <c r="BI1" s="105"/>
      <c r="BJ1" s="105"/>
      <c r="BK1" s="105"/>
      <c r="BL1" s="105"/>
      <c r="BM1" s="105"/>
      <c r="BN1" s="105"/>
      <c r="BO1" s="62"/>
      <c r="BP1" s="63"/>
      <c r="BQ1" s="63"/>
      <c r="BR1" s="62"/>
      <c r="BS1" s="63"/>
      <c r="BT1" s="376" t="s">
        <v>395</v>
      </c>
      <c r="BU1" s="364"/>
      <c r="BV1" s="364"/>
      <c r="BW1" s="364"/>
      <c r="BX1" s="364"/>
      <c r="BY1" s="364"/>
      <c r="BZ1" s="364"/>
      <c r="CA1" s="364"/>
      <c r="CB1" s="364"/>
      <c r="CC1" s="364"/>
      <c r="CD1" s="364"/>
      <c r="CE1" s="364"/>
      <c r="CF1" s="364"/>
      <c r="CG1" s="364"/>
      <c r="CH1" s="364"/>
      <c r="CI1" s="364"/>
      <c r="CJ1" s="364"/>
      <c r="CK1" s="364"/>
      <c r="CL1" s="364"/>
      <c r="CM1" s="377"/>
    </row>
    <row r="2" spans="1:91">
      <c r="A2" s="3" t="s">
        <v>68</v>
      </c>
      <c r="B2" s="45" t="s">
        <v>34</v>
      </c>
      <c r="C2" s="108" t="s">
        <v>67</v>
      </c>
      <c r="D2" s="108" t="s">
        <v>66</v>
      </c>
      <c r="E2" s="89" t="s">
        <v>65</v>
      </c>
      <c r="F2" s="89" t="s">
        <v>64</v>
      </c>
      <c r="G2" s="89" t="s">
        <v>63</v>
      </c>
      <c r="H2" s="89" t="s">
        <v>62</v>
      </c>
      <c r="I2" s="89" t="s">
        <v>61</v>
      </c>
      <c r="J2" s="89" t="s">
        <v>60</v>
      </c>
      <c r="K2" s="89" t="s">
        <v>59</v>
      </c>
      <c r="L2" s="45" t="s">
        <v>34</v>
      </c>
      <c r="M2" s="82" t="s">
        <v>58</v>
      </c>
      <c r="N2" s="109"/>
      <c r="O2" s="83"/>
      <c r="P2" s="93" t="s">
        <v>57</v>
      </c>
      <c r="Q2" s="109"/>
      <c r="R2" s="83"/>
      <c r="S2" s="93" t="s">
        <v>247</v>
      </c>
      <c r="T2" s="109"/>
      <c r="U2" s="83"/>
      <c r="V2" s="93" t="s">
        <v>248</v>
      </c>
      <c r="W2" s="109"/>
      <c r="X2" s="83"/>
      <c r="Y2" s="45" t="s">
        <v>35</v>
      </c>
      <c r="Z2" s="87" t="s">
        <v>36</v>
      </c>
      <c r="AA2" s="32"/>
      <c r="AB2" s="32" t="s">
        <v>34</v>
      </c>
      <c r="AC2" s="93" t="s">
        <v>249</v>
      </c>
      <c r="AD2" s="109"/>
      <c r="AE2" s="83"/>
      <c r="AF2" s="93" t="s">
        <v>250</v>
      </c>
      <c r="AG2" s="109"/>
      <c r="AH2" s="83"/>
      <c r="AI2" s="93" t="s">
        <v>51</v>
      </c>
      <c r="AJ2" s="109"/>
      <c r="AK2" s="83"/>
      <c r="AL2" s="93" t="s">
        <v>143</v>
      </c>
      <c r="AM2" s="109"/>
      <c r="AN2" s="83"/>
      <c r="AO2" s="93" t="s">
        <v>49</v>
      </c>
      <c r="AP2" s="109"/>
      <c r="AQ2" s="83"/>
      <c r="AR2" s="93" t="s">
        <v>107</v>
      </c>
      <c r="AS2" s="109"/>
      <c r="AT2" s="83"/>
      <c r="AU2" s="45" t="s">
        <v>35</v>
      </c>
      <c r="AV2" s="45" t="s">
        <v>36</v>
      </c>
      <c r="AW2" s="45" t="s">
        <v>47</v>
      </c>
      <c r="AX2" s="32" t="s">
        <v>251</v>
      </c>
      <c r="AY2" s="32"/>
      <c r="AZ2" s="32" t="s">
        <v>34</v>
      </c>
      <c r="BA2" s="86" t="s">
        <v>252</v>
      </c>
      <c r="BB2" s="85"/>
      <c r="BC2" s="84"/>
      <c r="BD2" s="135" t="s">
        <v>253</v>
      </c>
      <c r="BE2" s="85"/>
      <c r="BF2" s="84"/>
      <c r="BG2" s="86" t="s">
        <v>254</v>
      </c>
      <c r="BH2" s="85"/>
      <c r="BI2" s="84"/>
      <c r="BJ2" s="86" t="s">
        <v>255</v>
      </c>
      <c r="BK2" s="85"/>
      <c r="BL2" s="84"/>
      <c r="BM2" s="86" t="s">
        <v>256</v>
      </c>
      <c r="BN2" s="85"/>
      <c r="BO2" s="84"/>
      <c r="BP2" s="45" t="s">
        <v>35</v>
      </c>
      <c r="BQ2" s="45" t="s">
        <v>36</v>
      </c>
      <c r="BR2" s="45" t="s">
        <v>41</v>
      </c>
      <c r="BS2" s="87"/>
      <c r="BT2" s="86" t="s">
        <v>257</v>
      </c>
      <c r="BU2" s="182"/>
      <c r="BV2" s="183"/>
      <c r="BW2" s="86" t="s">
        <v>258</v>
      </c>
      <c r="BX2" s="182"/>
      <c r="BY2" s="183"/>
      <c r="BZ2" s="86" t="s">
        <v>259</v>
      </c>
      <c r="CA2" s="182"/>
      <c r="CB2" s="183"/>
      <c r="CC2" s="86" t="s">
        <v>112</v>
      </c>
      <c r="CD2" s="182"/>
      <c r="CE2" s="183"/>
      <c r="CF2" s="62" t="s">
        <v>35</v>
      </c>
      <c r="CG2" s="45" t="s">
        <v>36</v>
      </c>
      <c r="CH2" s="45" t="s">
        <v>260</v>
      </c>
      <c r="CI2" s="31" t="s">
        <v>261</v>
      </c>
      <c r="CJ2" s="45" t="s">
        <v>35</v>
      </c>
      <c r="CK2" s="32" t="s">
        <v>262</v>
      </c>
      <c r="CL2" s="32"/>
      <c r="CM2" s="32" t="s">
        <v>34</v>
      </c>
    </row>
    <row r="3" spans="1:91">
      <c r="A3" s="3"/>
      <c r="B3" s="149" t="s">
        <v>263</v>
      </c>
      <c r="C3" s="184">
        <v>33719</v>
      </c>
      <c r="D3" s="47" t="s">
        <v>19</v>
      </c>
      <c r="E3" s="32">
        <v>175</v>
      </c>
      <c r="F3" s="32">
        <v>61</v>
      </c>
      <c r="G3" s="32">
        <v>88</v>
      </c>
      <c r="H3" s="136">
        <v>1.1339999999999999</v>
      </c>
      <c r="I3" s="151">
        <f>F3/(E3/100)^2</f>
        <v>19.918367346938776</v>
      </c>
      <c r="J3" s="43" t="s">
        <v>30</v>
      </c>
      <c r="K3" s="32">
        <f>((E3-F3)*E3)/(H3*2*G3)</f>
        <v>99.957912457912471</v>
      </c>
      <c r="L3" s="149" t="s">
        <v>263</v>
      </c>
      <c r="M3" s="32">
        <v>253</v>
      </c>
      <c r="N3" s="40">
        <v>20</v>
      </c>
      <c r="O3" s="30">
        <f>IF(M3=0,"",IF(M3&lt;190,2,IF(AND(M3&gt;=190,M3&lt;200),3,IF(AND(M3&gt;=200,M3&lt;220),4,IF(AND(M3&gt;=220),5)))))</f>
        <v>5</v>
      </c>
      <c r="P3" s="32">
        <v>3.7</v>
      </c>
      <c r="Q3" s="40">
        <v>20</v>
      </c>
      <c r="R3" s="30">
        <f>IF(P3=0,"",IF(P3&gt;5.1,2,IF(AND(P3&lt;=5.1,P3&gt;4.7),3,IF(AND(P3&lt;=4.7,P3&gt;4.2),4,IF(AND(P3&lt;=4.2),5)))))</f>
        <v>5</v>
      </c>
      <c r="S3" s="32">
        <v>8.9</v>
      </c>
      <c r="T3" s="40">
        <v>20</v>
      </c>
      <c r="U3" s="30">
        <f>IF(S3=0,"",IF(S3&gt;10.3,2,IF(AND(S3&lt;=10.3,S3&gt;10),3,IF(AND(S3&lt;=10,S3&gt;9.6),4,IF(AND(S3&lt;=9.6),5)))))</f>
        <v>5</v>
      </c>
      <c r="V3" s="32">
        <v>1600</v>
      </c>
      <c r="W3" s="40">
        <v>20</v>
      </c>
      <c r="X3" s="30">
        <f>IF(V3=0,"",IF(V3&lt;1300,2,IF(AND(V3&gt;=1300,V3&lt;1400),3,IF(AND(V3&gt;=1400,V3&lt;1500),4,IF(AND(V3&gt;=1500),5)))))</f>
        <v>5</v>
      </c>
      <c r="Y3" s="40">
        <f>SUM(N3,Q3,T3,W3)</f>
        <v>80</v>
      </c>
      <c r="Z3" s="30">
        <f>IF(Y3=0,"",IF(Y3&lt;4,2,IF(AND(Y3&gt;=4,Y3&lt;16),3,IF(AND(Y3&gt;=16,Y3&lt;30),4,IF(AND(Y3&gt;=30),5)))))</f>
        <v>5</v>
      </c>
      <c r="AA3" s="223">
        <v>5</v>
      </c>
      <c r="AB3" s="149" t="s">
        <v>263</v>
      </c>
      <c r="AC3" s="32">
        <v>53</v>
      </c>
      <c r="AD3" s="40">
        <v>16</v>
      </c>
      <c r="AE3" s="30">
        <f>IF(AC3=0,"",IF(AC3&lt;35,2,IF(AND(AC3&gt;=35,AC3&lt;43),3,IF(AND(AC3&gt;=43,AC3&lt;50),4,IF(AND(AC3&gt;=50),5)))))</f>
        <v>5</v>
      </c>
      <c r="AF3" s="32">
        <v>16</v>
      </c>
      <c r="AG3" s="40">
        <v>20</v>
      </c>
      <c r="AH3" s="30">
        <f>IF(AF3=0,"",IF(AF3&lt;6,2,IF(AND(AF3&gt;=6,AF3&lt;9),3,IF(AND(AF3&gt;=9,AF3&lt;11),4,IF(AND(AF3&gt;=11),5)))))</f>
        <v>5</v>
      </c>
      <c r="AI3" s="32">
        <v>161</v>
      </c>
      <c r="AJ3" s="40">
        <v>18</v>
      </c>
      <c r="AK3" s="30">
        <f>IF(AI3=0,"",IF(AI3&lt;110,2,IF(AND(AI3&gt;=110,AI3&lt;130),3,IF(AND(AI3&gt;=130,AI3&lt;140),4,IF(AND(AI3&gt;=140),5)))))</f>
        <v>5</v>
      </c>
      <c r="AL3" s="32">
        <v>14</v>
      </c>
      <c r="AM3" s="40">
        <v>15</v>
      </c>
      <c r="AN3" s="30">
        <f>IF(AL3=0,"",IF(AL3&lt;8,2,IF(AND(AL3&gt;=8,AL3&lt;9),3,IF(AND(AL3&gt;=9,AL3&lt;11),4,IF(AND(AL3&gt;=11),5)))))</f>
        <v>5</v>
      </c>
      <c r="AO3" s="32">
        <v>18</v>
      </c>
      <c r="AP3" s="40">
        <v>18</v>
      </c>
      <c r="AQ3" s="30">
        <f>IF(AO3=0,"",IF(AO3&lt;1,2,IF(AND(AO3&gt;=1,AO3&lt;5),3,IF(AND(AO3&gt;=5,AO3&lt;10),4,IF(AND(AO3&gt;=10),5)))))</f>
        <v>5</v>
      </c>
      <c r="AR3" s="32">
        <v>10</v>
      </c>
      <c r="AS3" s="40">
        <v>10</v>
      </c>
      <c r="AT3" s="30">
        <f>IF(AR3=0,"",IF(AR3&lt;1,2,IF(AND(AR3&gt;=1,AR3&lt;5),3,IF(AND(AR3&gt;=5,AR3&lt;10),4,IF(AND(AR3&gt;=10),5)))))</f>
        <v>5</v>
      </c>
      <c r="AU3" s="40">
        <f>SUM(AD3,AG3,AJ3,AM3,AP3,AS3)</f>
        <v>97</v>
      </c>
      <c r="AV3" s="30">
        <f>IF(AU3=0,"",IF(AU3&lt;6,2,IF(AND(AU3&gt;=6,AU3&lt;20),3,IF(AND(AU3&gt;=20,AU3&lt;46),4,IF(AND(AU3&gt;=46),5)))))</f>
        <v>5</v>
      </c>
      <c r="AW3" s="40">
        <f>SUM(Y3,AU3)</f>
        <v>177</v>
      </c>
      <c r="AX3" s="30">
        <f>IF(AW3=0,"",IF(AW3&lt;10,2,IF(AND(AW3&gt;=10,AW3&lt;36),3,IF(AND(AW3&gt;=36,AW3&lt;76),4,IF(AND(AW3&gt;=76),5)))))</f>
        <v>5</v>
      </c>
      <c r="AY3" s="223">
        <v>5</v>
      </c>
      <c r="AZ3" s="149" t="s">
        <v>263</v>
      </c>
      <c r="BA3" s="31"/>
      <c r="BB3" s="344"/>
      <c r="BC3" s="30">
        <v>2</v>
      </c>
      <c r="BD3" s="31"/>
      <c r="BE3" s="344"/>
      <c r="BF3" s="30">
        <v>2</v>
      </c>
      <c r="BG3" s="31">
        <v>6</v>
      </c>
      <c r="BH3" s="344">
        <v>1</v>
      </c>
      <c r="BI3" s="30">
        <f>IF(BG3=0,"",IF(BG3&lt;6,2,IF(AND(BG3&gt;=6,BG3&lt;8),3,IF(AND(BG3&gt;=8,BG3&lt;10),4,IF(AND(BG3&gt;=10),5)))))</f>
        <v>3</v>
      </c>
      <c r="BJ3" s="31">
        <v>4</v>
      </c>
      <c r="BK3" s="344">
        <v>0</v>
      </c>
      <c r="BL3" s="30">
        <f>IF(BJ3=0,"",IF(BJ3&lt;6,2,IF(AND(BJ3&gt;=6,BJ3&lt;8),3,IF(AND(BJ3&gt;=8,BJ3&lt;10),4,IF(AND(BJ3&gt;=10),5)))))</f>
        <v>2</v>
      </c>
      <c r="BM3" s="31">
        <v>5</v>
      </c>
      <c r="BN3" s="344">
        <v>17</v>
      </c>
      <c r="BO3" s="30">
        <f>IF(BM3=0,"",IF(BM3&lt;1,2,IF(AND(BM3&gt;=1,BM3&lt;2),3,IF(AND(BM3&gt;=2,BM3&lt;3),4,IF(AND(BM3&gt;=3),5)))))</f>
        <v>5</v>
      </c>
      <c r="BP3" s="40">
        <f>SUM(BB3,BE3,BH3,BK3,BN3)</f>
        <v>18</v>
      </c>
      <c r="BQ3" s="30">
        <f>IF(BP3=0,"",IF(BP3&lt;5,2,IF(AND(BP3&gt;=5,BP3&lt;17),3,IF(AND(BP3&gt;=17,BP3&lt;40),4,IF(AND(BP3&gt;=40),5)))))</f>
        <v>4</v>
      </c>
      <c r="BR3" s="40">
        <f>SUM(AW3,BP3)</f>
        <v>195</v>
      </c>
      <c r="BS3" s="41"/>
      <c r="BT3" s="31">
        <v>12.5</v>
      </c>
      <c r="BU3" s="344">
        <v>20</v>
      </c>
      <c r="BV3" s="30">
        <f>IF(BT3=0,"",IF(BT3&gt;15.5,2,IF(AND(BT3&lt;=15.5,BT3&gt;14.9),3,IF(AND(BT3&lt;=14.9,BT3&gt;14.5),4,IF(AND(BT3&lt;=14.5),5)))))</f>
        <v>5</v>
      </c>
      <c r="BW3" s="31">
        <v>14.25</v>
      </c>
      <c r="BX3" s="344">
        <v>12</v>
      </c>
      <c r="BY3" s="30">
        <f>IF(BW3=0,"",IF(BW3&gt;17,2,IF(AND(BW3&lt;=17,BW3&gt;16),3,IF(AND(BW3&lt;=16,BW3&gt;15),4,IF(AND(BW3&lt;=15),5)))))</f>
        <v>5</v>
      </c>
      <c r="BZ3" s="31">
        <v>41</v>
      </c>
      <c r="CA3" s="344">
        <v>20</v>
      </c>
      <c r="CB3" s="30">
        <f>IF(BZ3=0,"",IF(BZ3&lt;22,2,IF(AND(BZ3&gt;=22,BZ3&lt;26),3,IF(AND(BZ3&gt;=26,BZ3&lt;32),4,IF(AND(BZ3&gt;=32),5)))))</f>
        <v>5</v>
      </c>
      <c r="CC3" s="31">
        <v>40</v>
      </c>
      <c r="CD3" s="344">
        <v>20</v>
      </c>
      <c r="CE3" s="30">
        <f>IF(CC3=0,"",IF(CC3&lt;10,2,IF(AND(CC3&gt;=10,CC3&lt;20),3,IF(AND(CC3&gt;=20,CC3&lt;30),4,IF(AND(CC3&gt;=30),5)))))</f>
        <v>5</v>
      </c>
      <c r="CF3" s="40">
        <f>SUM(BU3,BX3,CA3,CD3)</f>
        <v>72</v>
      </c>
      <c r="CG3" s="30">
        <f>IF(CF3=0,"",IF(CF3&lt;4,2,IF(AND(CF3&gt;=4,CF3&lt;16),3,IF(AND(CF3&gt;=16,CF3&lt;30),4,IF(AND(CF3&gt;=30),5)))))</f>
        <v>5</v>
      </c>
      <c r="CH3" s="40">
        <f>SUM(BP3,CF3)</f>
        <v>90</v>
      </c>
      <c r="CI3" s="30">
        <f>IF(CH3=0,"",IF(CH3&lt;9,2,IF(AND(CH3&gt;=9,CH3&lt;33),3,IF(AND(CH3&gt;=33,CH3&lt;70),4,IF(AND(CH3&gt;=70),5)))))</f>
        <v>5</v>
      </c>
      <c r="CJ3" s="40">
        <f>SUM(BR3,CF3)</f>
        <v>267</v>
      </c>
      <c r="CK3" s="30">
        <f>IF(CJ3=0,"",IF(CJ3&lt;19,2,IF(AND(CJ3&gt;=19,CJ3&lt;69),3,IF(AND(CJ3&gt;=69,CJ3&lt;146),4,IF(AND(CJ3&gt;=146),5)))))</f>
        <v>5</v>
      </c>
      <c r="CL3" s="223">
        <v>5</v>
      </c>
      <c r="CM3" s="149" t="s">
        <v>263</v>
      </c>
    </row>
    <row r="4" spans="1:91">
      <c r="A4" s="3"/>
      <c r="B4" s="106" t="s">
        <v>264</v>
      </c>
      <c r="C4" s="150">
        <v>34104</v>
      </c>
      <c r="D4" s="47" t="s">
        <v>19</v>
      </c>
      <c r="E4" s="32">
        <v>149</v>
      </c>
      <c r="F4" s="32">
        <v>40</v>
      </c>
      <c r="G4" s="32">
        <v>70</v>
      </c>
      <c r="H4" s="136">
        <v>1.139</v>
      </c>
      <c r="I4" s="151">
        <f>F4/(E4/100)^2</f>
        <v>18.017206432142697</v>
      </c>
      <c r="J4" s="43" t="s">
        <v>30</v>
      </c>
      <c r="K4" s="32">
        <f>((E4-F4)*E4)/(H4*2*G4)</f>
        <v>101.84999372883482</v>
      </c>
      <c r="L4" s="106" t="s">
        <v>264</v>
      </c>
      <c r="M4" s="32">
        <v>162</v>
      </c>
      <c r="N4" s="40">
        <v>0</v>
      </c>
      <c r="O4" s="30">
        <f>IF(M4=0,"",IF(M4&lt;190,2,IF(AND(M4&gt;=190,M4&lt;200),3,IF(AND(M4&gt;=200,M4&lt;220),4,IF(AND(M4&gt;=220),5)))))</f>
        <v>2</v>
      </c>
      <c r="P4" s="32">
        <v>4.8</v>
      </c>
      <c r="Q4" s="40">
        <v>4</v>
      </c>
      <c r="R4" s="30">
        <f>IF(P4=0,"",IF(P4&gt;5.1,2,IF(AND(P4&lt;=5.1,P4&gt;4.7),3,IF(AND(P4&lt;=4.7,P4&gt;4.2),4,IF(AND(P4&lt;=4.2),5)))))</f>
        <v>3</v>
      </c>
      <c r="S4" s="32">
        <v>10</v>
      </c>
      <c r="T4" s="40">
        <v>5</v>
      </c>
      <c r="U4" s="30">
        <f>IF(S4=0,"",IF(S4&gt;10.3,2,IF(AND(S4&lt;=10.3,S4&gt;10),3,IF(AND(S4&lt;=10,S4&gt;9.6),4,IF(AND(S4&lt;=9.6),5)))))</f>
        <v>4</v>
      </c>
      <c r="V4" s="32">
        <v>1665</v>
      </c>
      <c r="W4" s="40">
        <v>20</v>
      </c>
      <c r="X4" s="30">
        <f>IF(V4=0,"",IF(V4&lt;1300,2,IF(AND(V4&gt;=1300,V4&lt;1400),3,IF(AND(V4&gt;=1400,V4&lt;1500),4,IF(AND(V4&gt;=1500),5)))))</f>
        <v>5</v>
      </c>
      <c r="Y4" s="40">
        <f>SUM(N4,Q4,T4,W4)</f>
        <v>29</v>
      </c>
      <c r="Z4" s="30">
        <f>IF(Y4=0,"",IF(Y4&lt;4,2,IF(AND(Y4&gt;=4,Y4&lt;16),3,IF(AND(Y4&gt;=16,Y4&lt;30),4,IF(AND(Y4&gt;=30),5)))))</f>
        <v>4</v>
      </c>
      <c r="AA4" s="41"/>
      <c r="AB4" s="106" t="s">
        <v>265</v>
      </c>
      <c r="AC4" s="32">
        <v>47</v>
      </c>
      <c r="AD4" s="40">
        <v>7</v>
      </c>
      <c r="AE4" s="30">
        <f>IF(AC4=0,"",IF(AC4&lt;35,2,IF(AND(AC4&gt;=35,AC4&lt;43),3,IF(AND(AC4&gt;=43,AC4&lt;50),4,IF(AND(AC4&gt;=50),5)))))</f>
        <v>4</v>
      </c>
      <c r="AF4" s="32">
        <v>-5</v>
      </c>
      <c r="AG4" s="40">
        <v>0</v>
      </c>
      <c r="AH4" s="30">
        <f>IF(AF4=0,"",IF(AF4&lt;6,2,IF(AND(AF4&gt;=6,AF4&lt;9),3,IF(AND(AF4&gt;=9,AF4&lt;11),4,IF(AND(AF4&gt;=11),5)))))</f>
        <v>2</v>
      </c>
      <c r="AI4" s="32">
        <v>97</v>
      </c>
      <c r="AJ4" s="40">
        <v>0</v>
      </c>
      <c r="AK4" s="30">
        <f>IF(AI4=0,"",IF(AI4&lt;110,2,IF(AND(AI4&gt;=110,AI4&lt;130),3,IF(AND(AI4&gt;=130,AI4&lt;140),4,IF(AND(AI4&gt;=140),5)))))</f>
        <v>2</v>
      </c>
      <c r="AL4" s="32">
        <v>11</v>
      </c>
      <c r="AM4" s="40">
        <v>10</v>
      </c>
      <c r="AN4" s="30">
        <f>IF(AL4=0,"",IF(AL4&lt;8,2,IF(AND(AL4&gt;=8,AL4&lt;9),3,IF(AND(AL4&gt;=9,AL4&lt;11),4,IF(AND(AL4&gt;=11),5)))))</f>
        <v>5</v>
      </c>
      <c r="AO4" s="32">
        <v>11</v>
      </c>
      <c r="AP4" s="40">
        <v>11</v>
      </c>
      <c r="AQ4" s="30">
        <f>IF(AO4=0,"",IF(AO4&lt;1,2,IF(AND(AO4&gt;=1,AO4&lt;5),3,IF(AND(AO4&gt;=5,AO4&lt;10),4,IF(AND(AO4&gt;=10),5)))))</f>
        <v>5</v>
      </c>
      <c r="AR4" s="32">
        <v>10</v>
      </c>
      <c r="AS4" s="40">
        <v>10</v>
      </c>
      <c r="AT4" s="30">
        <f>IF(AR4=0,"",IF(AR4&lt;1,2,IF(AND(AR4&gt;=1,AR4&lt;5),3,IF(AND(AR4&gt;=5,AR4&lt;10),4,IF(AND(AR4&gt;=10),5)))))</f>
        <v>5</v>
      </c>
      <c r="AU4" s="40">
        <f>SUM(AD4,AG4,AJ4,AM4,AP4,AS4)</f>
        <v>38</v>
      </c>
      <c r="AV4" s="30">
        <f>IF(AU4=0,"",IF(AU4&lt;6,2,IF(AND(AU4&gt;=6,AU4&lt;20),3,IF(AND(AU4&gt;=20,AU4&lt;46),4,IF(AND(AU4&gt;=46),5)))))</f>
        <v>4</v>
      </c>
      <c r="AW4" s="40">
        <f>SUM(Y4,AU4)</f>
        <v>67</v>
      </c>
      <c r="AX4" s="30">
        <f>IF(AW4=0,"",IF(AW4&lt;10,2,IF(AND(AW4&gt;=10,AW4&lt;36),3,IF(AND(AW4&gt;=36,AW4&lt;76),4,IF(AND(AW4&gt;=76),5)))))</f>
        <v>4</v>
      </c>
      <c r="AY4" s="41"/>
      <c r="AZ4" s="106" t="s">
        <v>264</v>
      </c>
      <c r="BA4" s="31"/>
      <c r="BB4" s="344">
        <v>10</v>
      </c>
      <c r="BC4" s="30">
        <v>5</v>
      </c>
      <c r="BD4" s="31"/>
      <c r="BE4" s="344">
        <v>10</v>
      </c>
      <c r="BF4" s="30">
        <v>5</v>
      </c>
      <c r="BG4" s="31">
        <v>14</v>
      </c>
      <c r="BH4" s="344">
        <v>14</v>
      </c>
      <c r="BI4" s="30">
        <f>IF(BG4=0,"",IF(BG4&lt;6,2,IF(AND(BG4&gt;=6,BG4&lt;8),3,IF(AND(BG4&gt;=8,BG4&lt;10),4,IF(AND(BG4&gt;=10),5)))))</f>
        <v>5</v>
      </c>
      <c r="BJ4" s="31">
        <v>6</v>
      </c>
      <c r="BK4" s="344">
        <v>1</v>
      </c>
      <c r="BL4" s="30">
        <f>IF(BJ4=0,"",IF(BJ4&lt;6,2,IF(AND(BJ4&gt;=6,BJ4&lt;8),3,IF(AND(BJ4&gt;=8,BJ4&lt;10),4,IF(AND(BJ4&gt;=10),5)))))</f>
        <v>3</v>
      </c>
      <c r="BM4" s="31">
        <v>4</v>
      </c>
      <c r="BN4" s="344">
        <v>14</v>
      </c>
      <c r="BO4" s="30">
        <f>IF(BM4=0,"",IF(BM4&lt;1,2,IF(AND(BM4&gt;=1,BM4&lt;2),3,IF(AND(BM4&gt;=2,BM4&lt;3),4,IF(AND(BM4&gt;=3),5)))))</f>
        <v>5</v>
      </c>
      <c r="BP4" s="40">
        <f>SUM(BB4,BE4,BH4,BK4,BN4)</f>
        <v>49</v>
      </c>
      <c r="BQ4" s="30">
        <f>IF(BP4=0,"",IF(BP4&lt;5,2,IF(AND(BP4&gt;=5,BP4&lt;17),3,IF(AND(BP4&gt;=17,BP4&lt;40),4,IF(AND(BP4&gt;=40),5)))))</f>
        <v>5</v>
      </c>
      <c r="BR4" s="40">
        <f>SUM(AW4,BP4)</f>
        <v>116</v>
      </c>
      <c r="BS4" s="41"/>
      <c r="BT4" s="31">
        <v>16.399999999999999</v>
      </c>
      <c r="BU4" s="344">
        <v>0</v>
      </c>
      <c r="BV4" s="30">
        <f>IF(BT4=0,"",IF(BT4&gt;15.5,2,IF(AND(BT4&lt;=15.5,BT4&gt;14.9),3,IF(AND(BT4&lt;=14.9,BT4&gt;14.5),4,IF(AND(BT4&lt;=14.5),5)))))</f>
        <v>2</v>
      </c>
      <c r="BW4" s="31">
        <v>14.27</v>
      </c>
      <c r="BX4" s="344">
        <v>12</v>
      </c>
      <c r="BY4" s="30">
        <f>IF(BW4=0,"",IF(BW4&gt;17,2,IF(AND(BW4&lt;=17,BW4&gt;16),3,IF(AND(BW4&lt;=16,BW4&gt;15),4,IF(AND(BW4&lt;=15),5)))))</f>
        <v>5</v>
      </c>
      <c r="BZ4" s="31">
        <v>21</v>
      </c>
      <c r="CA4" s="344">
        <v>0</v>
      </c>
      <c r="CB4" s="30">
        <f>IF(BZ4=0,"",IF(BZ4&lt;22,2,IF(AND(BZ4&gt;=22,BZ4&lt;26),3,IF(AND(BZ4&gt;=26,BZ4&lt;32),4,IF(AND(BZ4&gt;=32),5)))))</f>
        <v>2</v>
      </c>
      <c r="CC4" s="31">
        <v>40</v>
      </c>
      <c r="CD4" s="344">
        <v>20</v>
      </c>
      <c r="CE4" s="30">
        <f>IF(CC4=0,"",IF(CC4&lt;10,2,IF(AND(CC4&gt;=10,CC4&lt;20),3,IF(AND(CC4&gt;=20,CC4&lt;30),4,IF(AND(CC4&gt;=30),5)))))</f>
        <v>5</v>
      </c>
      <c r="CF4" s="40">
        <f>SUM(BU4,BX4,CA4,CD4)</f>
        <v>32</v>
      </c>
      <c r="CG4" s="30">
        <f>IF(CF4=0,"",IF(CF4&lt;4,2,IF(AND(CF4&gt;=4,CF4&lt;16),3,IF(AND(CF4&gt;=16,CF4&lt;30),4,IF(AND(CF4&gt;=30),5)))))</f>
        <v>5</v>
      </c>
      <c r="CH4" s="40">
        <f>SUM(BP4,CF4)</f>
        <v>81</v>
      </c>
      <c r="CI4" s="30">
        <f>IF(CH4=0,"",IF(CH4&lt;9,2,IF(AND(CH4&gt;=9,CH4&lt;33),3,IF(AND(CH4&gt;=33,CH4&lt;70),4,IF(AND(CH4&gt;=70),5)))))</f>
        <v>5</v>
      </c>
      <c r="CJ4" s="40">
        <f>SUM(BR4,CF4)</f>
        <v>148</v>
      </c>
      <c r="CK4" s="30">
        <f>IF(CJ4=0,"",IF(CJ4&lt;19,2,IF(AND(CJ4&gt;=19,CJ4&lt;69),3,IF(AND(CJ4&gt;=69,CJ4&lt;146),4,IF(AND(CJ4&gt;=146),5)))))</f>
        <v>5</v>
      </c>
      <c r="CL4" s="41"/>
      <c r="CM4" s="106" t="s">
        <v>264</v>
      </c>
    </row>
    <row r="5" spans="1:91">
      <c r="A5" s="3"/>
      <c r="B5" s="106" t="s">
        <v>265</v>
      </c>
      <c r="C5" s="150">
        <v>34071</v>
      </c>
      <c r="D5" s="47" t="s">
        <v>19</v>
      </c>
      <c r="E5" s="32">
        <v>163</v>
      </c>
      <c r="F5" s="32">
        <v>54</v>
      </c>
      <c r="G5" s="32">
        <v>80</v>
      </c>
      <c r="H5" s="136">
        <v>1.139</v>
      </c>
      <c r="I5" s="151">
        <f>F5/(E5/100)^2</f>
        <v>20.324438255109339</v>
      </c>
      <c r="J5" s="47" t="s">
        <v>26</v>
      </c>
      <c r="K5" s="32">
        <f>((E5-F5)*E5)/(H5*2*G5)</f>
        <v>97.492317822651444</v>
      </c>
      <c r="L5" s="106" t="s">
        <v>265</v>
      </c>
      <c r="M5" s="32">
        <v>182</v>
      </c>
      <c r="N5" s="40">
        <v>0</v>
      </c>
      <c r="O5" s="30">
        <f>IF(M5=0,"",IF(M5&lt;190,2,IF(AND(M5&gt;=190,M5&lt;200),3,IF(AND(M5&gt;=200,M5&lt;220),4,IF(AND(M5&gt;=220),5)))))</f>
        <v>2</v>
      </c>
      <c r="P5" s="32">
        <v>4.3</v>
      </c>
      <c r="Q5" s="40">
        <v>9</v>
      </c>
      <c r="R5" s="30">
        <f>IF(P5=0,"",IF(P5&gt;5.1,2,IF(AND(P5&lt;=5.1,P5&gt;4.7),3,IF(AND(P5&lt;=4.7,P5&gt;4.2),4,IF(AND(P5&lt;=4.2),5)))))</f>
        <v>4</v>
      </c>
      <c r="S5" s="32">
        <v>10</v>
      </c>
      <c r="T5" s="40">
        <v>5</v>
      </c>
      <c r="U5" s="30">
        <f>IF(S5=0,"",IF(S5&gt;10.3,2,IF(AND(S5&lt;=10.3,S5&gt;10),3,IF(AND(S5&lt;=10,S5&gt;9.6),4,IF(AND(S5&lt;=9.6),5)))))</f>
        <v>4</v>
      </c>
      <c r="V5" s="32">
        <v>1600</v>
      </c>
      <c r="W5" s="40">
        <v>20</v>
      </c>
      <c r="X5" s="30">
        <f>IF(V5=0,"",IF(V5&lt;1300,2,IF(AND(V5&gt;=1300,V5&lt;1400),3,IF(AND(V5&gt;=1400,V5&lt;1500),4,IF(AND(V5&gt;=1500),5)))))</f>
        <v>5</v>
      </c>
      <c r="Y5" s="40">
        <f>SUM(N5,Q5,T5,W5)</f>
        <v>34</v>
      </c>
      <c r="Z5" s="30">
        <f>IF(Y5=0,"",IF(Y5&lt;4,2,IF(AND(Y5&gt;=4,Y5&lt;16),3,IF(AND(Y5&gt;=16,Y5&lt;30),4,IF(AND(Y5&gt;=30),5)))))</f>
        <v>5</v>
      </c>
      <c r="AA5" s="41"/>
      <c r="AB5" s="106" t="s">
        <v>265</v>
      </c>
      <c r="AC5" s="32">
        <v>42</v>
      </c>
      <c r="AD5" s="40">
        <v>4</v>
      </c>
      <c r="AE5" s="30">
        <f>IF(AC5=0,"",IF(AC5&lt;35,2,IF(AND(AC5&gt;=35,AC5&lt;43),3,IF(AND(AC5&gt;=43,AC5&lt;50),4,IF(AND(AC5&gt;=50),5)))))</f>
        <v>3</v>
      </c>
      <c r="AF5" s="32">
        <v>1</v>
      </c>
      <c r="AG5" s="40">
        <v>0</v>
      </c>
      <c r="AH5" s="30">
        <f>IF(AF5=0,"",IF(AF5&lt;6,2,IF(AND(AF5&gt;=6,AF5&lt;9),3,IF(AND(AF5&gt;=9,AF5&lt;11),4,IF(AND(AF5&gt;=11),5)))))</f>
        <v>2</v>
      </c>
      <c r="AI5" s="32">
        <v>111</v>
      </c>
      <c r="AJ5" s="40">
        <v>1</v>
      </c>
      <c r="AK5" s="30">
        <f>IF(AI5=0,"",IF(AI5&lt;110,2,IF(AND(AI5&gt;=110,AI5&lt;130),3,IF(AND(AI5&gt;=130,AI5&lt;140),4,IF(AND(AI5&gt;=140),5)))))</f>
        <v>3</v>
      </c>
      <c r="AL5" s="32">
        <v>9</v>
      </c>
      <c r="AM5" s="40">
        <v>5</v>
      </c>
      <c r="AN5" s="30">
        <f>IF(AL5=0,"",IF(AL5&lt;8,2,IF(AND(AL5&gt;=8,AL5&lt;9),3,IF(AND(AL5&gt;=9,AL5&lt;11),4,IF(AND(AL5&gt;=11),5)))))</f>
        <v>4</v>
      </c>
      <c r="AO5" s="32">
        <v>6</v>
      </c>
      <c r="AP5" s="40">
        <v>6</v>
      </c>
      <c r="AQ5" s="30">
        <f>IF(AO5=0,"",IF(AO5&lt;1,2,IF(AND(AO5&gt;=1,AO5&lt;5),3,IF(AND(AO5&gt;=5,AO5&lt;10),4,IF(AND(AO5&gt;=10),5)))))</f>
        <v>4</v>
      </c>
      <c r="AR5" s="32">
        <v>1</v>
      </c>
      <c r="AS5" s="40">
        <v>1</v>
      </c>
      <c r="AT5" s="30">
        <f>IF(AR5=0,"",IF(AR5&lt;1,2,IF(AND(AR5&gt;=1,AR5&lt;5),3,IF(AND(AR5&gt;=5,AR5&lt;10),4,IF(AND(AR5&gt;=10),5)))))</f>
        <v>3</v>
      </c>
      <c r="AU5" s="40">
        <f>SUM(AD5,AG5,AJ5,AM5,AP5,AS5)</f>
        <v>17</v>
      </c>
      <c r="AV5" s="30">
        <f>IF(AU5=0,"",IF(AU5&lt;6,2,IF(AND(AU5&gt;=6,AU5&lt;20),3,IF(AND(AU5&gt;=20,AU5&lt;46),4,IF(AND(AU5&gt;=46),5)))))</f>
        <v>3</v>
      </c>
      <c r="AW5" s="40">
        <f>SUM(Y5,AU5)</f>
        <v>51</v>
      </c>
      <c r="AX5" s="30">
        <f>IF(AW5=0,"",IF(AW5&lt;10,2,IF(AND(AW5&gt;=10,AW5&lt;36),3,IF(AND(AW5&gt;=36,AW5&lt;76),4,IF(AND(AW5&gt;=76),5)))))</f>
        <v>4</v>
      </c>
      <c r="AY5" s="41"/>
      <c r="AZ5" s="106" t="s">
        <v>265</v>
      </c>
      <c r="BA5" s="31"/>
      <c r="BB5" s="344">
        <v>5</v>
      </c>
      <c r="BC5" s="30">
        <v>4</v>
      </c>
      <c r="BD5" s="31"/>
      <c r="BE5" s="344">
        <v>5</v>
      </c>
      <c r="BF5" s="30">
        <v>4</v>
      </c>
      <c r="BG5" s="31">
        <v>12</v>
      </c>
      <c r="BH5" s="344">
        <v>12</v>
      </c>
      <c r="BI5" s="30">
        <f>IF(BG5=0,"",IF(BG5&lt;6,2,IF(AND(BG5&gt;=6,BG5&lt;8),3,IF(AND(BG5&gt;=8,BG5&lt;10),4,IF(AND(BG5&gt;=10),5)))))</f>
        <v>5</v>
      </c>
      <c r="BJ5" s="31">
        <v>6</v>
      </c>
      <c r="BK5" s="344">
        <v>1</v>
      </c>
      <c r="BL5" s="30">
        <f>IF(BJ5=0,"",IF(BJ5&lt;6,2,IF(AND(BJ5&gt;=6,BJ5&lt;8),3,IF(AND(BJ5&gt;=8,BJ5&lt;10),4,IF(AND(BJ5&gt;=10),5)))))</f>
        <v>3</v>
      </c>
      <c r="BM5" s="31">
        <v>5</v>
      </c>
      <c r="BN5" s="344">
        <v>17</v>
      </c>
      <c r="BO5" s="30">
        <f>IF(BM5=0,"",IF(BM5&lt;1,2,IF(AND(BM5&gt;=1,BM5&lt;2),3,IF(AND(BM5&gt;=2,BM5&lt;3),4,IF(AND(BM5&gt;=3),5)))))</f>
        <v>5</v>
      </c>
      <c r="BP5" s="40">
        <f>SUM(BB5,BE5,BH5,BK5,BN5)</f>
        <v>40</v>
      </c>
      <c r="BQ5" s="30">
        <f>IF(BP5=0,"",IF(BP5&lt;5,2,IF(AND(BP5&gt;=5,BP5&lt;17),3,IF(AND(BP5&gt;=17,BP5&lt;40),4,IF(AND(BP5&gt;=40),5)))))</f>
        <v>5</v>
      </c>
      <c r="BR5" s="40">
        <f>SUM(AW5,BP5)</f>
        <v>91</v>
      </c>
      <c r="BS5" s="41"/>
      <c r="BT5" s="31">
        <v>14.8</v>
      </c>
      <c r="BU5" s="344">
        <v>7</v>
      </c>
      <c r="BV5" s="30">
        <f>IF(BT5=0,"",IF(BT5&gt;15.5,2,IF(AND(BT5&lt;=15.5,BT5&gt;14.9),3,IF(AND(BT5&lt;=14.9,BT5&gt;14.5),4,IF(AND(BT5&lt;=14.5),5)))))</f>
        <v>4</v>
      </c>
      <c r="BW5" s="31">
        <v>15.26</v>
      </c>
      <c r="BX5" s="344">
        <v>7</v>
      </c>
      <c r="BY5" s="30">
        <f>IF(BW5=0,"",IF(BW5&gt;17,2,IF(AND(BW5&lt;=17,BW5&gt;16),3,IF(AND(BW5&lt;=16,BW5&gt;15),4,IF(AND(BW5&lt;=15),5)))))</f>
        <v>4</v>
      </c>
      <c r="BZ5" s="31">
        <v>26</v>
      </c>
      <c r="CA5" s="344">
        <v>5</v>
      </c>
      <c r="CB5" s="30">
        <f>IF(BZ5=0,"",IF(BZ5&lt;22,2,IF(AND(BZ5&gt;=22,BZ5&lt;26),3,IF(AND(BZ5&gt;=26,BZ5&lt;32),4,IF(AND(BZ5&gt;=32),5)))))</f>
        <v>4</v>
      </c>
      <c r="CC5" s="31">
        <v>40</v>
      </c>
      <c r="CD5" s="344">
        <v>20</v>
      </c>
      <c r="CE5" s="30">
        <f>IF(CC5=0,"",IF(CC5&lt;10,2,IF(AND(CC5&gt;=10,CC5&lt;20),3,IF(AND(CC5&gt;=20,CC5&lt;30),4,IF(AND(CC5&gt;=30),5)))))</f>
        <v>5</v>
      </c>
      <c r="CF5" s="40">
        <f>SUM(BU5,BX5,CA5,CD5)</f>
        <v>39</v>
      </c>
      <c r="CG5" s="30">
        <f>IF(CF5=0,"",IF(CF5&lt;4,2,IF(AND(CF5&gt;=4,CF5&lt;16),3,IF(AND(CF5&gt;=16,CF5&lt;30),4,IF(AND(CF5&gt;=30),5)))))</f>
        <v>5</v>
      </c>
      <c r="CH5" s="40">
        <f>SUM(BP5,CF5)</f>
        <v>79</v>
      </c>
      <c r="CI5" s="30">
        <f>IF(CH5=0,"",IF(CH5&lt;9,2,IF(AND(CH5&gt;=9,CH5&lt;33),3,IF(AND(CH5&gt;=33,CH5&lt;70),4,IF(AND(CH5&gt;=70),5)))))</f>
        <v>5</v>
      </c>
      <c r="CJ5" s="40">
        <f>SUM(BR5,CF5)</f>
        <v>130</v>
      </c>
      <c r="CK5" s="30">
        <f>IF(CJ5=0,"",IF(CJ5&lt;19,2,IF(AND(CJ5&gt;=19,CJ5&lt;69),3,IF(AND(CJ5&gt;=69,CJ5&lt;146),4,IF(AND(CJ5&gt;=146),5)))))</f>
        <v>4</v>
      </c>
      <c r="CL5" s="41"/>
      <c r="CM5" s="106" t="s">
        <v>265</v>
      </c>
    </row>
    <row r="6" spans="1:91">
      <c r="A6" s="3"/>
      <c r="B6" s="149" t="s">
        <v>266</v>
      </c>
      <c r="C6" s="184">
        <v>34189</v>
      </c>
      <c r="D6" s="47" t="s">
        <v>19</v>
      </c>
      <c r="E6" s="32">
        <v>179</v>
      </c>
      <c r="F6" s="32">
        <v>55</v>
      </c>
      <c r="G6" s="32">
        <v>74</v>
      </c>
      <c r="H6" s="136">
        <v>1.139</v>
      </c>
      <c r="I6" s="151">
        <f>F6/(E6/100)^2</f>
        <v>17.165506694547613</v>
      </c>
      <c r="J6" s="43" t="s">
        <v>82</v>
      </c>
      <c r="K6" s="32">
        <f>((E6-F6)*E6)/(H6*2*G6)</f>
        <v>131.6707400991861</v>
      </c>
      <c r="L6" s="149" t="s">
        <v>266</v>
      </c>
      <c r="M6" s="32">
        <v>198</v>
      </c>
      <c r="N6" s="40">
        <v>4</v>
      </c>
      <c r="O6" s="30">
        <f>IF(M6=0,"",IF(M6&lt;190,2,IF(AND(M6&gt;=190,M6&lt;200),3,IF(AND(M6&gt;=200,M6&lt;220),4,IF(AND(M6&gt;=220),5)))))</f>
        <v>3</v>
      </c>
      <c r="P6" s="32">
        <v>4.5</v>
      </c>
      <c r="Q6" s="40">
        <v>7</v>
      </c>
      <c r="R6" s="30">
        <f>IF(P6=0,"",IF(P6&gt;5.1,2,IF(AND(P6&lt;=5.1,P6&gt;4.7),3,IF(AND(P6&lt;=4.7,P6&gt;4.2),4,IF(AND(P6&lt;=4.2),5)))))</f>
        <v>4</v>
      </c>
      <c r="S6" s="32">
        <v>9.9</v>
      </c>
      <c r="T6" s="40">
        <v>6</v>
      </c>
      <c r="U6" s="30">
        <f>IF(S6=0,"",IF(S6&gt;10.3,2,IF(AND(S6&lt;=10.3,S6&gt;10),3,IF(AND(S6&lt;=10,S6&gt;9.6),4,IF(AND(S6&lt;=9.6),5)))))</f>
        <v>4</v>
      </c>
      <c r="V6" s="32">
        <v>1550</v>
      </c>
      <c r="W6" s="40">
        <v>15</v>
      </c>
      <c r="X6" s="30">
        <f>IF(V6=0,"",IF(V6&lt;1300,2,IF(AND(V6&gt;=1300,V6&lt;1400),3,IF(AND(V6&gt;=1400,V6&lt;1500),4,IF(AND(V6&gt;=1500),5)))))</f>
        <v>5</v>
      </c>
      <c r="Y6" s="40">
        <f>SUM(N6,Q6,T6,W6)</f>
        <v>32</v>
      </c>
      <c r="Z6" s="30">
        <f>IF(Y6=0,"",IF(Y6&lt;4,2,IF(AND(Y6&gt;=4,Y6&lt;16),3,IF(AND(Y6&gt;=16,Y6&lt;30),4,IF(AND(Y6&gt;=30),5)))))</f>
        <v>5</v>
      </c>
      <c r="AA6" s="41"/>
      <c r="AB6" s="149" t="s">
        <v>266</v>
      </c>
      <c r="AC6" s="32">
        <v>17</v>
      </c>
      <c r="AD6" s="40">
        <v>0</v>
      </c>
      <c r="AE6" s="30">
        <f>IF(AC6=0,"",IF(AC6&lt;35,2,IF(AND(AC6&gt;=35,AC6&lt;43),3,IF(AND(AC6&gt;=43,AC6&lt;50),4,IF(AND(AC6&gt;=50),5)))))</f>
        <v>2</v>
      </c>
      <c r="AF6" s="32">
        <v>-11</v>
      </c>
      <c r="AG6" s="40">
        <v>0</v>
      </c>
      <c r="AH6" s="30">
        <f>IF(AF6=0,"",IF(AF6&lt;6,2,IF(AND(AF6&gt;=6,AF6&lt;9),3,IF(AND(AF6&gt;=9,AF6&lt;11),4,IF(AND(AF6&gt;=11),5)))))</f>
        <v>2</v>
      </c>
      <c r="AI6" s="32">
        <v>163</v>
      </c>
      <c r="AJ6" s="40">
        <v>19</v>
      </c>
      <c r="AK6" s="30">
        <f>IF(AI6=0,"",IF(AI6&lt;110,2,IF(AND(AI6&gt;=110,AI6&lt;130),3,IF(AND(AI6&gt;=130,AI6&lt;140),4,IF(AND(AI6&gt;=140),5)))))</f>
        <v>5</v>
      </c>
      <c r="AL6" s="32">
        <v>8</v>
      </c>
      <c r="AM6" s="40">
        <v>1</v>
      </c>
      <c r="AN6" s="30">
        <f>IF(AL6=0,"",IF(AL6&lt;8,2,IF(AND(AL6&gt;=8,AL6&lt;9),3,IF(AND(AL6&gt;=9,AL6&lt;11),4,IF(AND(AL6&gt;=11),5)))))</f>
        <v>3</v>
      </c>
      <c r="AO6" s="32">
        <v>6</v>
      </c>
      <c r="AP6" s="40">
        <v>6</v>
      </c>
      <c r="AQ6" s="30">
        <f>IF(AO6=0,"",IF(AO6&lt;1,2,IF(AND(AO6&gt;=1,AO6&lt;5),3,IF(AND(AO6&gt;=5,AO6&lt;10),4,IF(AND(AO6&gt;=10),5)))))</f>
        <v>4</v>
      </c>
      <c r="AR6" s="32"/>
      <c r="AS6" s="40">
        <v>0</v>
      </c>
      <c r="AT6" s="30" t="str">
        <f>IF(AR6=0,"",IF(AR6&lt;1,2,IF(AND(AR6&gt;=1,AR6&lt;5),3,IF(AND(AR6&gt;=5,AR6&lt;10),4,IF(AND(AR6&gt;=10),5)))))</f>
        <v/>
      </c>
      <c r="AU6" s="40">
        <f>SUM(AD6,AG6,AJ6,AM6,AP6,AS6)</f>
        <v>26</v>
      </c>
      <c r="AV6" s="30">
        <f>IF(AU6=0,"",IF(AU6&lt;6,2,IF(AND(AU6&gt;=6,AU6&lt;20),3,IF(AND(AU6&gt;=20,AU6&lt;46),4,IF(AND(AU6&gt;=46),5)))))</f>
        <v>4</v>
      </c>
      <c r="AW6" s="40">
        <f>SUM(Y6,AU6)</f>
        <v>58</v>
      </c>
      <c r="AX6" s="30">
        <f>IF(AW6=0,"",IF(AW6&lt;10,2,IF(AND(AW6&gt;=10,AW6&lt;36),3,IF(AND(AW6&gt;=36,AW6&lt;76),4,IF(AND(AW6&gt;=76),5)))))</f>
        <v>4</v>
      </c>
      <c r="AY6" s="41"/>
      <c r="AZ6" s="149" t="s">
        <v>266</v>
      </c>
      <c r="BA6" s="31"/>
      <c r="BB6" s="344"/>
      <c r="BC6" s="30">
        <v>2</v>
      </c>
      <c r="BD6" s="31"/>
      <c r="BE6" s="344"/>
      <c r="BF6" s="30">
        <v>2</v>
      </c>
      <c r="BG6" s="31">
        <v>20</v>
      </c>
      <c r="BH6" s="344">
        <v>20</v>
      </c>
      <c r="BI6" s="30">
        <f>IF(BG6=0,"",IF(BG6&lt;6,2,IF(AND(BG6&gt;=6,BG6&lt;8),3,IF(AND(BG6&gt;=8,BG6&lt;10),4,IF(AND(BG6&gt;=10),5)))))</f>
        <v>5</v>
      </c>
      <c r="BJ6" s="31">
        <v>3</v>
      </c>
      <c r="BK6" s="344">
        <v>0</v>
      </c>
      <c r="BL6" s="30">
        <f>IF(BJ6=0,"",IF(BJ6&lt;6,2,IF(AND(BJ6&gt;=6,BJ6&lt;8),3,IF(AND(BJ6&gt;=8,BJ6&lt;10),4,IF(AND(BJ6&gt;=10),5)))))</f>
        <v>2</v>
      </c>
      <c r="BM6" s="31">
        <v>4</v>
      </c>
      <c r="BN6" s="344">
        <v>14</v>
      </c>
      <c r="BO6" s="30">
        <f>IF(BM6=0,"",IF(BM6&lt;1,2,IF(AND(BM6&gt;=1,BM6&lt;2),3,IF(AND(BM6&gt;=2,BM6&lt;3),4,IF(AND(BM6&gt;=3),5)))))</f>
        <v>5</v>
      </c>
      <c r="BP6" s="40">
        <f>SUM(BB6,BE6,BH6,BK6,BN6)</f>
        <v>34</v>
      </c>
      <c r="BQ6" s="30">
        <f>IF(BP6=0,"",IF(BP6&lt;5,2,IF(AND(BP6&gt;=5,BP6&lt;17),3,IF(AND(BP6&gt;=17,BP6&lt;40),4,IF(AND(BP6&gt;=40),5)))))</f>
        <v>4</v>
      </c>
      <c r="BR6" s="40">
        <f>SUM(AW6,BP6)</f>
        <v>92</v>
      </c>
      <c r="BS6" s="41"/>
      <c r="BT6" s="31">
        <v>15.2</v>
      </c>
      <c r="BU6" s="344">
        <v>2</v>
      </c>
      <c r="BV6" s="30">
        <f>IF(BT6=0,"",IF(BT6&gt;15.5,2,IF(AND(BT6&lt;=15.5,BT6&gt;14.9),3,IF(AND(BT6&lt;=14.9,BT6&gt;14.5),4,IF(AND(BT6&lt;=14.5),5)))))</f>
        <v>3</v>
      </c>
      <c r="BW6" s="31">
        <v>16.239999999999998</v>
      </c>
      <c r="BX6" s="344">
        <v>3</v>
      </c>
      <c r="BY6" s="30">
        <f>IF(BW6=0,"",IF(BW6&gt;17,2,IF(AND(BW6&lt;=17,BW6&gt;16),3,IF(AND(BW6&lt;=16,BW6&gt;15),4,IF(AND(BW6&lt;=15),5)))))</f>
        <v>3</v>
      </c>
      <c r="BZ6" s="31">
        <v>28</v>
      </c>
      <c r="CA6" s="344">
        <v>6</v>
      </c>
      <c r="CB6" s="30">
        <f>IF(BZ6=0,"",IF(BZ6&lt;22,2,IF(AND(BZ6&gt;=22,BZ6&lt;26),3,IF(AND(BZ6&gt;=26,BZ6&lt;32),4,IF(AND(BZ6&gt;=32),5)))))</f>
        <v>4</v>
      </c>
      <c r="CC6" s="31">
        <v>14</v>
      </c>
      <c r="CD6" s="344">
        <v>2</v>
      </c>
      <c r="CE6" s="30">
        <f>IF(CC6=0,"",IF(CC6&lt;10,2,IF(AND(CC6&gt;=10,CC6&lt;20),3,IF(AND(CC6&gt;=20,CC6&lt;30),4,IF(AND(CC6&gt;=30),5)))))</f>
        <v>3</v>
      </c>
      <c r="CF6" s="40">
        <f>SUM(BU6,BX6,CA6,CD6)</f>
        <v>13</v>
      </c>
      <c r="CG6" s="30">
        <f>IF(CF6=0,"",IF(CF6&lt;4,2,IF(AND(CF6&gt;=4,CF6&lt;16),3,IF(AND(CF6&gt;=16,CF6&lt;30),4,IF(AND(CF6&gt;=30),5)))))</f>
        <v>3</v>
      </c>
      <c r="CH6" s="40">
        <f>SUM(BP6,CF6)</f>
        <v>47</v>
      </c>
      <c r="CI6" s="30">
        <f>IF(CH6=0,"",IF(CH6&lt;9,2,IF(AND(CH6&gt;=9,CH6&lt;33),3,IF(AND(CH6&gt;=33,CH6&lt;70),4,IF(AND(CH6&gt;=70),5)))))</f>
        <v>4</v>
      </c>
      <c r="CJ6" s="40">
        <f>SUM(BR6,CF6)</f>
        <v>105</v>
      </c>
      <c r="CK6" s="30">
        <f>IF(CJ6=0,"",IF(CJ6&lt;19,2,IF(AND(CJ6&gt;=19,CJ6&lt;69),3,IF(AND(CJ6&gt;=69,CJ6&lt;146),4,IF(AND(CJ6&gt;=146),5)))))</f>
        <v>4</v>
      </c>
      <c r="CL6" s="41"/>
      <c r="CM6" s="149" t="s">
        <v>266</v>
      </c>
    </row>
    <row r="7" spans="1:91">
      <c r="A7" s="3"/>
      <c r="B7" s="106" t="s">
        <v>267</v>
      </c>
      <c r="C7" s="150">
        <v>34139</v>
      </c>
      <c r="D7" s="47" t="s">
        <v>19</v>
      </c>
      <c r="E7" s="32">
        <v>169</v>
      </c>
      <c r="F7" s="32">
        <v>65</v>
      </c>
      <c r="G7" s="32">
        <v>78</v>
      </c>
      <c r="H7" s="136">
        <v>1.139</v>
      </c>
      <c r="I7" s="151">
        <f>F7/(E7/100)^2</f>
        <v>22.758306781975424</v>
      </c>
      <c r="J7" s="43" t="s">
        <v>24</v>
      </c>
      <c r="K7" s="32">
        <f>((E7-F7)*E7)/(H7*2*G7)</f>
        <v>98.917178811823234</v>
      </c>
      <c r="L7" s="106" t="s">
        <v>267</v>
      </c>
      <c r="M7" s="32">
        <v>197</v>
      </c>
      <c r="N7" s="40">
        <v>3</v>
      </c>
      <c r="O7" s="30">
        <f>IF(M7=0,"",IF(M7&lt;190,2,IF(AND(M7&gt;=190,M7&lt;200),3,IF(AND(M7&gt;=200,M7&lt;220),4,IF(AND(M7&gt;=220),5)))))</f>
        <v>3</v>
      </c>
      <c r="P7" s="32">
        <v>4.5999999999999996</v>
      </c>
      <c r="Q7" s="40">
        <v>6</v>
      </c>
      <c r="R7" s="30">
        <f>IF(P7=0,"",IF(P7&gt;5.1,2,IF(AND(P7&lt;=5.1,P7&gt;4.7),3,IF(AND(P7&lt;=4.7,P7&gt;4.2),4,IF(AND(P7&lt;=4.2),5)))))</f>
        <v>4</v>
      </c>
      <c r="S7" s="32">
        <v>10</v>
      </c>
      <c r="T7" s="40">
        <v>5</v>
      </c>
      <c r="U7" s="30">
        <f>IF(S7=0,"",IF(S7&gt;10.3,2,IF(AND(S7&lt;=10.3,S7&gt;10),3,IF(AND(S7&lt;=10,S7&gt;9.6),4,IF(AND(S7&lt;=9.6),5)))))</f>
        <v>4</v>
      </c>
      <c r="V7" s="32">
        <v>1500</v>
      </c>
      <c r="W7" s="40">
        <v>10</v>
      </c>
      <c r="X7" s="30">
        <f>IF(V7=0,"",IF(V7&lt;1300,2,IF(AND(V7&gt;=1300,V7&lt;1400),3,IF(AND(V7&gt;=1400,V7&lt;1500),4,IF(AND(V7&gt;=1500),5)))))</f>
        <v>5</v>
      </c>
      <c r="Y7" s="40">
        <f>SUM(N7,Q7,T7,W7)</f>
        <v>24</v>
      </c>
      <c r="Z7" s="30">
        <f>IF(Y7=0,"",IF(Y7&lt;4,2,IF(AND(Y7&gt;=4,Y7&lt;16),3,IF(AND(Y7&gt;=16,Y7&lt;30),4,IF(AND(Y7&gt;=30),5)))))</f>
        <v>4</v>
      </c>
      <c r="AA7" s="41"/>
      <c r="AB7" s="106" t="s">
        <v>267</v>
      </c>
      <c r="AC7" s="32">
        <v>36</v>
      </c>
      <c r="AD7" s="40">
        <v>1</v>
      </c>
      <c r="AE7" s="30">
        <f>IF(AC7=0,"",IF(AC7&lt;35,2,IF(AND(AC7&gt;=35,AC7&lt;43),3,IF(AND(AC7&gt;=43,AC7&lt;50),4,IF(AND(AC7&gt;=50),5)))))</f>
        <v>3</v>
      </c>
      <c r="AF7" s="32"/>
      <c r="AG7" s="40"/>
      <c r="AH7" s="30" t="str">
        <f>IF(AF7=0,"",IF(AF7&lt;6,2,IF(AND(AF7&gt;=6,AF7&lt;9),3,IF(AND(AF7&gt;=9,AF7&lt;11),4,IF(AND(AF7&gt;=11),5)))))</f>
        <v/>
      </c>
      <c r="AI7" s="32">
        <v>89</v>
      </c>
      <c r="AJ7" s="40">
        <v>0</v>
      </c>
      <c r="AK7" s="30">
        <f>IF(AI7=0,"",IF(AI7&lt;110,2,IF(AND(AI7&gt;=110,AI7&lt;130),3,IF(AND(AI7&gt;=130,AI7&lt;140),4,IF(AND(AI7&gt;=140),5)))))</f>
        <v>2</v>
      </c>
      <c r="AL7" s="32">
        <v>2</v>
      </c>
      <c r="AM7" s="40">
        <v>0</v>
      </c>
      <c r="AN7" s="30">
        <f>IF(AL7=0,"",IF(AL7&lt;8,2,IF(AND(AL7&gt;=8,AL7&lt;9),3,IF(AND(AL7&gt;=9,AL7&lt;11),4,IF(AND(AL7&gt;=11),5)))))</f>
        <v>2</v>
      </c>
      <c r="AO7" s="32">
        <v>12</v>
      </c>
      <c r="AP7" s="40">
        <v>12</v>
      </c>
      <c r="AQ7" s="30">
        <f>IF(AO7=0,"",IF(AO7&lt;1,2,IF(AND(AO7&gt;=1,AO7&lt;5),3,IF(AND(AO7&gt;=5,AO7&lt;10),4,IF(AND(AO7&gt;=10),5)))))</f>
        <v>5</v>
      </c>
      <c r="AR7" s="32"/>
      <c r="AS7" s="40"/>
      <c r="AT7" s="30" t="str">
        <f>IF(AR7=0,"",IF(AR7&lt;1,2,IF(AND(AR7&gt;=1,AR7&lt;5),3,IF(AND(AR7&gt;=5,AR7&lt;10),4,IF(AND(AR7&gt;=10),5)))))</f>
        <v/>
      </c>
      <c r="AU7" s="40">
        <f>SUM(AD7,AG7,AJ7,AM7,AP7,AS7)</f>
        <v>13</v>
      </c>
      <c r="AV7" s="30">
        <f>IF(AU7=0,"",IF(AU7&lt;6,2,IF(AND(AU7&gt;=6,AU7&lt;20),3,IF(AND(AU7&gt;=20,AU7&lt;46),4,IF(AND(AU7&gt;=46),5)))))</f>
        <v>3</v>
      </c>
      <c r="AW7" s="40">
        <f>SUM(Y7,AU7)</f>
        <v>37</v>
      </c>
      <c r="AX7" s="30">
        <f>IF(AW7=0,"",IF(AW7&lt;10,2,IF(AND(AW7&gt;=10,AW7&lt;36),3,IF(AND(AW7&gt;=36,AW7&lt;76),4,IF(AND(AW7&gt;=76),5)))))</f>
        <v>4</v>
      </c>
      <c r="AY7" s="41"/>
      <c r="AZ7" s="106" t="s">
        <v>267</v>
      </c>
      <c r="BA7" s="31"/>
      <c r="BB7" s="344"/>
      <c r="BC7" s="30">
        <v>2</v>
      </c>
      <c r="BD7" s="31"/>
      <c r="BE7" s="344"/>
      <c r="BF7" s="30">
        <v>2</v>
      </c>
      <c r="BG7" s="31">
        <v>17</v>
      </c>
      <c r="BH7" s="344">
        <v>17</v>
      </c>
      <c r="BI7" s="30">
        <f>IF(BG7=0,"",IF(BG7&lt;6,2,IF(AND(BG7&gt;=6,BG7&lt;8),3,IF(AND(BG7&gt;=8,BG7&lt;10),4,IF(AND(BG7&gt;=10),5)))))</f>
        <v>5</v>
      </c>
      <c r="BJ7" s="31">
        <v>6</v>
      </c>
      <c r="BK7" s="344">
        <v>1</v>
      </c>
      <c r="BL7" s="30">
        <f>IF(BJ7=0,"",IF(BJ7&lt;6,2,IF(AND(BJ7&gt;=6,BJ7&lt;8),3,IF(AND(BJ7&gt;=8,BJ7&lt;10),4,IF(AND(BJ7&gt;=10),5)))))</f>
        <v>3</v>
      </c>
      <c r="BM7" s="31">
        <v>5</v>
      </c>
      <c r="BN7" s="344">
        <v>17</v>
      </c>
      <c r="BO7" s="30">
        <f>IF(BM7=0,"",IF(BM7&lt;1,2,IF(AND(BM7&gt;=1,BM7&lt;2),3,IF(AND(BM7&gt;=2,BM7&lt;3),4,IF(AND(BM7&gt;=3),5)))))</f>
        <v>5</v>
      </c>
      <c r="BP7" s="40">
        <f>SUM(BB7,BE7,BH7,BK7,BN7)</f>
        <v>35</v>
      </c>
      <c r="BQ7" s="30">
        <f>IF(BP7=0,"",IF(BP7&lt;5,2,IF(AND(BP7&gt;=5,BP7&lt;17),3,IF(AND(BP7&gt;=17,BP7&lt;40),4,IF(AND(BP7&gt;=40),5)))))</f>
        <v>4</v>
      </c>
      <c r="BR7" s="40">
        <f>SUM(AW7,BP7)</f>
        <v>72</v>
      </c>
      <c r="BS7" s="41"/>
      <c r="BT7" s="31">
        <v>14.9</v>
      </c>
      <c r="BU7" s="344">
        <v>5</v>
      </c>
      <c r="BV7" s="30">
        <f>IF(BT7=0,"",IF(BT7&gt;15.5,2,IF(AND(BT7&lt;=15.5,BT7&gt;14.9),3,IF(AND(BT7&lt;=14.9,BT7&gt;14.5),4,IF(AND(BT7&lt;=14.5),5)))))</f>
        <v>4</v>
      </c>
      <c r="BW7" s="31">
        <v>16.579999999999998</v>
      </c>
      <c r="BX7" s="344">
        <v>1</v>
      </c>
      <c r="BY7" s="30">
        <f>IF(BW7=0,"",IF(BW7&gt;17,2,IF(AND(BW7&lt;=17,BW7&gt;16),3,IF(AND(BW7&lt;=16,BW7&gt;15),4,IF(AND(BW7&lt;=15),5)))))</f>
        <v>3</v>
      </c>
      <c r="BZ7" s="31">
        <v>32</v>
      </c>
      <c r="CA7" s="344">
        <v>10</v>
      </c>
      <c r="CB7" s="30">
        <f>IF(BZ7=0,"",IF(BZ7&lt;22,2,IF(AND(BZ7&gt;=22,BZ7&lt;26),3,IF(AND(BZ7&gt;=26,BZ7&lt;32),4,IF(AND(BZ7&gt;=32),5)))))</f>
        <v>5</v>
      </c>
      <c r="CC7" s="31">
        <v>10</v>
      </c>
      <c r="CD7" s="344">
        <v>1</v>
      </c>
      <c r="CE7" s="30">
        <f>IF(CC7=0,"",IF(CC7&lt;10,2,IF(AND(CC7&gt;=10,CC7&lt;20),3,IF(AND(CC7&gt;=20,CC7&lt;30),4,IF(AND(CC7&gt;=30),5)))))</f>
        <v>3</v>
      </c>
      <c r="CF7" s="40">
        <f>SUM(BU7,BX7,CA7,CD7)</f>
        <v>17</v>
      </c>
      <c r="CG7" s="30">
        <f>IF(CF7=0,"",IF(CF7&lt;4,2,IF(AND(CF7&gt;=4,CF7&lt;16),3,IF(AND(CF7&gt;=16,CF7&lt;30),4,IF(AND(CF7&gt;=30),5)))))</f>
        <v>4</v>
      </c>
      <c r="CH7" s="40">
        <f>SUM(BP7,CF7)</f>
        <v>52</v>
      </c>
      <c r="CI7" s="30">
        <f>IF(CH7=0,"",IF(CH7&lt;9,2,IF(AND(CH7&gt;=9,CH7&lt;33),3,IF(AND(CH7&gt;=33,CH7&lt;70),4,IF(AND(CH7&gt;=70),5)))))</f>
        <v>4</v>
      </c>
      <c r="CJ7" s="40">
        <f>SUM(BR7,CF7)</f>
        <v>89</v>
      </c>
      <c r="CK7" s="30">
        <f>IF(CJ7=0,"",IF(CJ7&lt;19,2,IF(AND(CJ7&gt;=19,CJ7&lt;69),3,IF(AND(CJ7&gt;=69,CJ7&lt;146),4,IF(AND(CJ7&gt;=146),5)))))</f>
        <v>4</v>
      </c>
      <c r="CL7" s="41"/>
      <c r="CM7" s="106" t="s">
        <v>267</v>
      </c>
    </row>
    <row r="8" spans="1:91">
      <c r="A8" s="8"/>
      <c r="B8" s="152"/>
      <c r="C8" s="153"/>
      <c r="D8" s="153"/>
      <c r="E8" s="154"/>
      <c r="F8" s="154"/>
      <c r="G8" s="154"/>
      <c r="H8" s="154"/>
      <c r="I8" s="154"/>
      <c r="J8" s="153"/>
      <c r="K8" s="154"/>
      <c r="L8" s="152"/>
      <c r="M8" s="51"/>
      <c r="N8" s="55"/>
      <c r="O8" s="52"/>
      <c r="P8" s="51"/>
      <c r="Q8" s="55"/>
      <c r="R8" s="52"/>
      <c r="S8" s="51"/>
      <c r="T8" s="55"/>
      <c r="U8" s="52"/>
      <c r="V8" s="51"/>
      <c r="W8" s="55"/>
      <c r="X8" s="52"/>
      <c r="Y8" s="55"/>
      <c r="Z8" s="52"/>
      <c r="AA8" s="185"/>
      <c r="AB8" s="152"/>
      <c r="AC8" s="154"/>
      <c r="AD8" s="186"/>
      <c r="AE8" s="185"/>
      <c r="AF8" s="154"/>
      <c r="AG8" s="186"/>
      <c r="AH8" s="185"/>
      <c r="AI8" s="154"/>
      <c r="AJ8" s="186"/>
      <c r="AK8" s="185"/>
      <c r="AL8" s="154"/>
      <c r="AM8" s="186"/>
      <c r="AN8" s="185"/>
      <c r="AO8" s="154"/>
      <c r="AP8" s="186"/>
      <c r="AQ8" s="185"/>
      <c r="AR8" s="154"/>
      <c r="AS8" s="186"/>
      <c r="AT8" s="185"/>
      <c r="AU8" s="186"/>
      <c r="AV8" s="185"/>
      <c r="AW8" s="186"/>
      <c r="AX8" s="185"/>
      <c r="AY8" s="185"/>
      <c r="AZ8" s="152"/>
      <c r="BA8" s="154"/>
      <c r="BB8" s="352"/>
      <c r="BC8" s="154"/>
      <c r="BD8" s="154"/>
      <c r="BE8" s="352"/>
      <c r="BF8" s="154"/>
      <c r="BG8" s="154"/>
      <c r="BH8" s="352"/>
      <c r="BI8" s="154"/>
      <c r="BJ8" s="154"/>
      <c r="BK8" s="352"/>
      <c r="BL8" s="154"/>
      <c r="BM8" s="154"/>
      <c r="BN8" s="352"/>
      <c r="BO8" s="154"/>
      <c r="BP8" s="154"/>
      <c r="BQ8" s="154"/>
      <c r="BR8" s="154"/>
      <c r="BS8" s="154"/>
      <c r="BT8" s="154"/>
      <c r="BU8" s="352"/>
      <c r="BV8" s="154"/>
      <c r="BW8" s="154"/>
      <c r="BX8" s="352"/>
      <c r="BY8" s="154"/>
      <c r="BZ8" s="154"/>
      <c r="CA8" s="352"/>
      <c r="CB8" s="154"/>
      <c r="CC8" s="154"/>
      <c r="CD8" s="352"/>
      <c r="CE8" s="154"/>
      <c r="CF8" s="154"/>
      <c r="CG8" s="154"/>
      <c r="CH8" s="154"/>
      <c r="CJ8" s="154"/>
      <c r="CK8" s="154"/>
      <c r="CL8" s="154"/>
      <c r="CM8" s="152"/>
    </row>
    <row r="9" spans="1:91">
      <c r="A9" s="3"/>
      <c r="B9" s="106" t="s">
        <v>268</v>
      </c>
      <c r="C9" s="150">
        <v>33956</v>
      </c>
      <c r="D9" s="47" t="s">
        <v>19</v>
      </c>
      <c r="E9" s="45">
        <v>163</v>
      </c>
      <c r="F9" s="45">
        <v>55</v>
      </c>
      <c r="G9" s="45">
        <v>77</v>
      </c>
      <c r="H9" s="136">
        <v>1.036</v>
      </c>
      <c r="I9" s="151">
        <f t="shared" ref="I9:I15" si="0">F9/(E9/100)^2</f>
        <v>20.700816741315069</v>
      </c>
      <c r="J9" s="43" t="s">
        <v>30</v>
      </c>
      <c r="K9" s="32">
        <f t="shared" ref="K9:K15" si="1">((E9-F9)*E9)/(H9*2*G9)</f>
        <v>110.33946748232462</v>
      </c>
      <c r="L9" s="106" t="s">
        <v>268</v>
      </c>
      <c r="M9" s="45">
        <v>168</v>
      </c>
      <c r="N9" s="66">
        <v>2</v>
      </c>
      <c r="O9" s="30">
        <f t="shared" ref="O9:O15" si="2">IF(M9=0,"",IF(M9&lt;165,2,IF(AND(M9&gt;=165,M9&lt;173),3,IF(AND(M9&gt;=173,M9&lt;180),4,IF(AND(M9&gt;=180),5)))))</f>
        <v>3</v>
      </c>
      <c r="P9" s="45">
        <v>4.5</v>
      </c>
      <c r="Q9" s="66">
        <v>20</v>
      </c>
      <c r="R9" s="30">
        <f t="shared" ref="R9:R15" si="3">IF(P9=0,"",IF(P9&gt;5.9,2,IF(AND(P9&lt;=5.9,P9&gt;5.5),3,IF(AND(P9&lt;=5.5,P9&gt;5.1),4,IF(AND(P9&lt;=5.1),5)))))</f>
        <v>5</v>
      </c>
      <c r="S9" s="45">
        <v>10.1</v>
      </c>
      <c r="T9" s="66">
        <v>20</v>
      </c>
      <c r="U9" s="30">
        <f t="shared" ref="U9:U15" si="4">IF(S9=0,"",IF(S9&gt;11,2,IF(AND(S9&lt;=11,S9&gt;10.8),3,IF(AND(S9&lt;=10.8,S9&gt;10.4),4,IF(AND(S9&lt;=10.4),5)))))</f>
        <v>5</v>
      </c>
      <c r="V9" s="45">
        <v>1455</v>
      </c>
      <c r="W9" s="66">
        <v>20</v>
      </c>
      <c r="X9" s="30">
        <f t="shared" ref="X9:X15" si="5">IF(V9=0,"",IF(V9&lt;1000,2,IF(AND(V9&gt;=1000,V9&lt;1150),3,IF(AND(V9&gt;=1150,V9&lt;1220),4,IF(AND(V9&gt;=1220),5)))))</f>
        <v>5</v>
      </c>
      <c r="Y9" s="40">
        <f t="shared" ref="Y9:Y15" si="6">SUM(N9,Q9,T9,W9)</f>
        <v>62</v>
      </c>
      <c r="Z9" s="30">
        <f t="shared" ref="Z9:Z15" si="7">IF(Y9=0,"",IF(Y9&lt;4,2,IF(AND(Y9&gt;=4,Y9&lt;16),3,IF(AND(Y9&gt;=16,Y9&lt;30),4,IF(AND(Y9&gt;=30),5)))))</f>
        <v>5</v>
      </c>
      <c r="AA9" s="41"/>
      <c r="AB9" s="106" t="s">
        <v>268</v>
      </c>
      <c r="AC9" s="45">
        <v>40</v>
      </c>
      <c r="AD9" s="66">
        <v>20</v>
      </c>
      <c r="AE9" s="30">
        <f t="shared" ref="AE9:AE15" si="8">IF(AC9=0,"",IF(AC9&lt;25,2,IF(AND(AC9&gt;=25,AC9&lt;30),3,IF(AND(AC9&gt;=30,AC9&lt;35),4,IF(AND(AC9&gt;=35),5)))))</f>
        <v>5</v>
      </c>
      <c r="AF9" s="45">
        <v>15</v>
      </c>
      <c r="AG9" s="66">
        <v>7</v>
      </c>
      <c r="AH9" s="30">
        <f t="shared" ref="AH9:AH15" si="9">IF(AF9=0,"",IF(AF9&lt;11,2,IF(AND(AF9&gt;=11,AF9&lt;14),3,IF(AND(AF9&gt;=14,AF9&lt;18),4,IF(AND(AF9&gt;=18),5)))))</f>
        <v>4</v>
      </c>
      <c r="AI9" s="45">
        <v>156</v>
      </c>
      <c r="AJ9" s="66">
        <v>14</v>
      </c>
      <c r="AK9" s="30">
        <f t="shared" ref="AK9:AK15" si="10">IF(AI9=0,"",IF(AI9&lt;70,2,IF(AND(AI9&gt;=70,AI9&lt;100),3,IF(AND(AI9&gt;=100,AI9&lt;135),4,IF(AND(AI9&gt;=135),5)))))</f>
        <v>5</v>
      </c>
      <c r="AL9" s="45">
        <v>11</v>
      </c>
      <c r="AM9" s="66">
        <v>20</v>
      </c>
      <c r="AN9" s="30">
        <f t="shared" ref="AN9:AN15" si="11">IF(AL9=0,"",IF(AL9&lt;3,2,IF(AND(AL9&gt;=3,AL9&lt;5),3,IF(AND(AL9&gt;=5,AL9&lt;8),4,IF(AND(AL9&gt;=8),5)))))</f>
        <v>5</v>
      </c>
      <c r="AO9" s="45">
        <v>19</v>
      </c>
      <c r="AP9" s="66">
        <v>19</v>
      </c>
      <c r="AQ9" s="30">
        <f t="shared" ref="AQ9:AQ15" si="12">IF(AO9=0,"",IF(AO9&lt;1,2,IF(AND(AO9&gt;=1,AO9&lt;5),3,IF(AND(AO9&gt;=5,AO9&lt;10),4,IF(AND(AO9&gt;=10),5)))))</f>
        <v>5</v>
      </c>
      <c r="AR9" s="45">
        <v>8</v>
      </c>
      <c r="AS9" s="66">
        <v>8</v>
      </c>
      <c r="AT9" s="30">
        <f t="shared" ref="AT9:AT15" si="13">IF(AR9=0,"",IF(AR9&lt;1,2,IF(AND(AR9&gt;=1,AR9&lt;5),3,IF(AND(AR9&gt;=5,AR9&lt;10),4,IF(AND(AR9&gt;=10),5)))))</f>
        <v>4</v>
      </c>
      <c r="AU9" s="40">
        <f t="shared" ref="AU9:AU15" si="14">SUM(AD9,AG9,AJ9,AM9,AP9,AS9)</f>
        <v>88</v>
      </c>
      <c r="AV9" s="30">
        <f t="shared" ref="AV9:AV15" si="15">IF(AU9=0,"",IF(AU9&lt;6,2,IF(AND(AU9&gt;=6,AU9&lt;20),3,IF(AND(AU9&gt;=20,AU9&lt;46),4,IF(AND(AU9&gt;=46),5)))))</f>
        <v>5</v>
      </c>
      <c r="AW9" s="40">
        <f t="shared" ref="AW9:AW15" si="16">SUM(Y9,AU9)</f>
        <v>150</v>
      </c>
      <c r="AX9" s="30">
        <f t="shared" ref="AX9:AX15" si="17">IF(AW9=0,"",IF(AW9&lt;10,2,IF(AND(AW9&gt;=10,AW9&lt;36),3,IF(AND(AW9&gt;=36,AW9&lt;76),4,IF(AND(AW9&gt;=76),5)))))</f>
        <v>5</v>
      </c>
      <c r="AY9" s="41"/>
      <c r="AZ9" s="106" t="s">
        <v>268</v>
      </c>
      <c r="BA9" s="65"/>
      <c r="BB9" s="343"/>
      <c r="BC9" s="30"/>
      <c r="BD9" s="65"/>
      <c r="BE9" s="343"/>
      <c r="BF9" s="30"/>
      <c r="BG9" s="65">
        <v>8</v>
      </c>
      <c r="BH9" s="343">
        <v>5</v>
      </c>
      <c r="BI9" s="30">
        <f t="shared" ref="BI9:BI15" si="18">IF(BG9=0,"",IF(BG9&lt;6,2,IF(AND(BG9&gt;=6,BG9&lt;8),3,IF(AND(BG9&gt;=8,BG9&lt;10),4,IF(AND(BG9&gt;=10),5)))))</f>
        <v>4</v>
      </c>
      <c r="BJ9" s="65">
        <v>6</v>
      </c>
      <c r="BK9" s="343">
        <v>1</v>
      </c>
      <c r="BL9" s="30">
        <f t="shared" ref="BL9:BL15" si="19">IF(BJ9=0,"",IF(BJ9&lt;6,2,IF(AND(BJ9&gt;=6,BJ9&lt;8),3,IF(AND(BJ9&gt;=8,BJ9&lt;10),4,IF(AND(BJ9&gt;=10),5)))))</f>
        <v>3</v>
      </c>
      <c r="BM9" s="65">
        <v>4</v>
      </c>
      <c r="BN9" s="343">
        <v>14</v>
      </c>
      <c r="BO9" s="30">
        <f t="shared" ref="BO9:BO15" si="20">IF(BM9=0,"",IF(BM9&lt;1,2,IF(AND(BM9&gt;=1,BM9&lt;2),3,IF(AND(BM9&gt;=2,BM9&lt;3),4,IF(AND(BM9&gt;=3),5)))))</f>
        <v>5</v>
      </c>
      <c r="BP9" s="40">
        <f t="shared" ref="BP9:BP15" si="21">SUM(BB9,BE9,BH9,BK9,BN9)</f>
        <v>20</v>
      </c>
      <c r="BQ9" s="30">
        <f t="shared" ref="BQ9:BQ15" si="22">IF(BP9=0,"",IF(BP9&lt;5,2,IF(AND(BP9&gt;=5,BP9&lt;17),3,IF(AND(BP9&gt;=17,BP9&lt;40),4,IF(AND(BP9&gt;=40),5)))))</f>
        <v>4</v>
      </c>
      <c r="BR9" s="40">
        <f t="shared" ref="BR9:BR15" si="23">SUM(AW9,BP9)</f>
        <v>170</v>
      </c>
      <c r="BS9" s="41"/>
      <c r="BT9" s="65">
        <v>16.899999999999999</v>
      </c>
      <c r="BU9" s="343">
        <v>6</v>
      </c>
      <c r="BV9" s="30">
        <f t="shared" ref="BV9:BV15" si="24">IF(BT9=0,"",IF(BT9&gt;17.8,2,IF(AND(BT9&lt;=17.8,BT9&gt;17),3,IF(AND(BT9&lt;=17,BT9&gt;16.5),4,IF(AND(BT9&lt;=16.5),5)))))</f>
        <v>4</v>
      </c>
      <c r="BW9" s="65">
        <v>10.47</v>
      </c>
      <c r="BX9" s="343">
        <v>7</v>
      </c>
      <c r="BY9" s="30">
        <f t="shared" ref="BY9:BY15" si="25">IF(BW9=0,"",IF(BW9&gt;12.4,2,IF(AND(BW9&lt;=12.4,BW9&gt;11.4),3,IF(AND(BW9&lt;=11.4,BW9&gt;10.1),4,IF(AND(BW9&lt;=10.1),5)))))</f>
        <v>4</v>
      </c>
      <c r="BZ9" s="65">
        <v>22</v>
      </c>
      <c r="CA9" s="343">
        <v>17</v>
      </c>
      <c r="CB9" s="30">
        <f t="shared" ref="CB9:CB15" si="26">IF(BZ9=0,"",IF(BZ9&lt;11,2,IF(AND(BZ9&gt;=11,BZ9&lt;13),3,IF(AND(BZ9&gt;=13,BZ9&lt;18),4,IF(AND(BZ9&gt;=18),5)))))</f>
        <v>5</v>
      </c>
      <c r="CC9" s="65">
        <v>19</v>
      </c>
      <c r="CD9" s="343">
        <v>20</v>
      </c>
      <c r="CE9" s="30">
        <f t="shared" ref="CE9:CE15" si="27">IF(CC9=0,"",IF(CC9&lt;3,2,IF(AND(CC9&gt;=3,CC9&lt;6),3,IF(AND(CC9&gt;=6,CC9&lt;10),4,IF(AND(CC9&gt;=10),5)))))</f>
        <v>5</v>
      </c>
      <c r="CF9" s="40">
        <f t="shared" ref="CF9:CF15" si="28">SUM(BU9,BX9,CA9,CD9)</f>
        <v>50</v>
      </c>
      <c r="CG9" s="30">
        <f t="shared" ref="CG9:CG15" si="29">IF(CF9=0,"",IF(CF9&lt;4,2,IF(AND(CF9&gt;=4,CF9&lt;16),3,IF(AND(CF9&gt;=16,CF9&lt;30),4,IF(AND(CF9&gt;=30),5)))))</f>
        <v>5</v>
      </c>
      <c r="CH9" s="40">
        <f t="shared" ref="CH9:CH15" si="30">SUM(BP9,CF9)</f>
        <v>70</v>
      </c>
      <c r="CI9" s="30">
        <f t="shared" ref="CI9:CI15" si="31">IF(CH9=0,"",IF(CH9&lt;9,2,IF(AND(CH9&gt;=9,CH9&lt;33),3,IF(AND(CH9&gt;=33,CH9&lt;70),4,IF(AND(CH9&gt;=70),5)))))</f>
        <v>5</v>
      </c>
      <c r="CJ9" s="40">
        <f t="shared" ref="CJ9:CJ15" si="32">SUM(BR9,CF9)</f>
        <v>220</v>
      </c>
      <c r="CK9" s="30">
        <f t="shared" ref="CK9:CK15" si="33">IF(CJ9=0,"",IF(CJ9&lt;19,2,IF(AND(CJ9&gt;=19,CJ9&lt;69),3,IF(AND(CJ9&gt;=69,CJ9&lt;146),4,IF(AND(CJ9&gt;=146),5)))))</f>
        <v>5</v>
      </c>
      <c r="CL9" s="41"/>
      <c r="CM9" s="106" t="s">
        <v>268</v>
      </c>
    </row>
    <row r="10" spans="1:91">
      <c r="A10" s="3"/>
      <c r="B10" s="106" t="s">
        <v>269</v>
      </c>
      <c r="C10" s="150">
        <v>33825</v>
      </c>
      <c r="D10" s="47" t="s">
        <v>19</v>
      </c>
      <c r="E10" s="45">
        <v>159</v>
      </c>
      <c r="F10" s="45">
        <v>48</v>
      </c>
      <c r="G10" s="45">
        <v>72</v>
      </c>
      <c r="H10" s="136">
        <v>1.036</v>
      </c>
      <c r="I10" s="151">
        <f t="shared" si="0"/>
        <v>18.986590720303784</v>
      </c>
      <c r="J10" s="43" t="s">
        <v>82</v>
      </c>
      <c r="K10" s="32">
        <f t="shared" si="1"/>
        <v>118.30357142857143</v>
      </c>
      <c r="L10" s="106" t="s">
        <v>269</v>
      </c>
      <c r="M10" s="45">
        <v>174</v>
      </c>
      <c r="N10" s="66">
        <v>5</v>
      </c>
      <c r="O10" s="30">
        <f t="shared" si="2"/>
        <v>4</v>
      </c>
      <c r="P10" s="45">
        <v>4.9000000000000004</v>
      </c>
      <c r="Q10" s="66">
        <v>14</v>
      </c>
      <c r="R10" s="30">
        <f t="shared" si="3"/>
        <v>5</v>
      </c>
      <c r="S10" s="45">
        <v>10.6</v>
      </c>
      <c r="T10" s="66">
        <v>8</v>
      </c>
      <c r="U10" s="30">
        <f t="shared" si="4"/>
        <v>4</v>
      </c>
      <c r="V10" s="45">
        <v>1350</v>
      </c>
      <c r="W10" s="66">
        <v>20</v>
      </c>
      <c r="X10" s="30">
        <f t="shared" si="5"/>
        <v>5</v>
      </c>
      <c r="Y10" s="40">
        <f t="shared" si="6"/>
        <v>47</v>
      </c>
      <c r="Z10" s="30">
        <f t="shared" si="7"/>
        <v>5</v>
      </c>
      <c r="AA10" s="41"/>
      <c r="AB10" s="106" t="s">
        <v>269</v>
      </c>
      <c r="AC10" s="45">
        <v>40</v>
      </c>
      <c r="AD10" s="66">
        <v>20</v>
      </c>
      <c r="AE10" s="30">
        <f t="shared" si="8"/>
        <v>5</v>
      </c>
      <c r="AF10" s="45">
        <v>13</v>
      </c>
      <c r="AG10" s="66">
        <v>4</v>
      </c>
      <c r="AH10" s="30">
        <f t="shared" si="9"/>
        <v>3</v>
      </c>
      <c r="AI10" s="45">
        <v>151</v>
      </c>
      <c r="AJ10" s="66">
        <v>13</v>
      </c>
      <c r="AK10" s="30">
        <f t="shared" si="10"/>
        <v>5</v>
      </c>
      <c r="AL10" s="45">
        <v>11</v>
      </c>
      <c r="AM10" s="66">
        <v>20</v>
      </c>
      <c r="AN10" s="30">
        <f t="shared" si="11"/>
        <v>5</v>
      </c>
      <c r="AO10" s="45">
        <v>15</v>
      </c>
      <c r="AP10" s="66">
        <v>15</v>
      </c>
      <c r="AQ10" s="30">
        <f t="shared" si="12"/>
        <v>5</v>
      </c>
      <c r="AR10" s="45">
        <v>10</v>
      </c>
      <c r="AS10" s="66">
        <v>10</v>
      </c>
      <c r="AT10" s="30">
        <f t="shared" si="13"/>
        <v>5</v>
      </c>
      <c r="AU10" s="40">
        <f t="shared" si="14"/>
        <v>82</v>
      </c>
      <c r="AV10" s="30">
        <f t="shared" si="15"/>
        <v>5</v>
      </c>
      <c r="AW10" s="40">
        <f t="shared" si="16"/>
        <v>129</v>
      </c>
      <c r="AX10" s="30">
        <f t="shared" si="17"/>
        <v>5</v>
      </c>
      <c r="AY10" s="41"/>
      <c r="AZ10" s="106" t="s">
        <v>269</v>
      </c>
      <c r="BA10" s="65"/>
      <c r="BB10" s="343">
        <v>5</v>
      </c>
      <c r="BC10" s="30">
        <v>4</v>
      </c>
      <c r="BD10" s="65"/>
      <c r="BE10" s="343">
        <v>5</v>
      </c>
      <c r="BF10" s="30">
        <v>4</v>
      </c>
      <c r="BG10" s="65">
        <v>10</v>
      </c>
      <c r="BH10" s="343">
        <v>10</v>
      </c>
      <c r="BI10" s="30">
        <f t="shared" si="18"/>
        <v>5</v>
      </c>
      <c r="BJ10" s="65">
        <v>6</v>
      </c>
      <c r="BK10" s="343">
        <v>1</v>
      </c>
      <c r="BL10" s="30">
        <f t="shared" si="19"/>
        <v>3</v>
      </c>
      <c r="BM10" s="65">
        <v>3</v>
      </c>
      <c r="BN10" s="343">
        <v>10</v>
      </c>
      <c r="BO10" s="30">
        <f t="shared" si="20"/>
        <v>5</v>
      </c>
      <c r="BP10" s="40">
        <f t="shared" si="21"/>
        <v>31</v>
      </c>
      <c r="BQ10" s="30">
        <f t="shared" si="22"/>
        <v>4</v>
      </c>
      <c r="BR10" s="40">
        <f t="shared" si="23"/>
        <v>160</v>
      </c>
      <c r="BS10" s="41"/>
      <c r="BT10" s="65">
        <v>16.899999999999999</v>
      </c>
      <c r="BU10" s="343">
        <v>6</v>
      </c>
      <c r="BV10" s="30">
        <f t="shared" si="24"/>
        <v>4</v>
      </c>
      <c r="BW10" s="65"/>
      <c r="BX10" s="343"/>
      <c r="BY10" s="30" t="str">
        <f t="shared" si="25"/>
        <v/>
      </c>
      <c r="BZ10" s="65">
        <v>22</v>
      </c>
      <c r="CA10" s="343">
        <v>17</v>
      </c>
      <c r="CB10" s="30">
        <f t="shared" si="26"/>
        <v>5</v>
      </c>
      <c r="CC10" s="65">
        <v>18</v>
      </c>
      <c r="CD10" s="343">
        <v>20</v>
      </c>
      <c r="CE10" s="30">
        <f t="shared" si="27"/>
        <v>5</v>
      </c>
      <c r="CF10" s="40">
        <f t="shared" si="28"/>
        <v>43</v>
      </c>
      <c r="CG10" s="30">
        <f t="shared" si="29"/>
        <v>5</v>
      </c>
      <c r="CH10" s="40">
        <f t="shared" si="30"/>
        <v>74</v>
      </c>
      <c r="CI10" s="30">
        <f t="shared" si="31"/>
        <v>5</v>
      </c>
      <c r="CJ10" s="40">
        <f t="shared" si="32"/>
        <v>203</v>
      </c>
      <c r="CK10" s="30">
        <f t="shared" si="33"/>
        <v>5</v>
      </c>
      <c r="CL10" s="41"/>
      <c r="CM10" s="106" t="s">
        <v>269</v>
      </c>
    </row>
    <row r="11" spans="1:91">
      <c r="A11" s="3"/>
      <c r="B11" s="106" t="s">
        <v>270</v>
      </c>
      <c r="C11" s="150">
        <v>33986</v>
      </c>
      <c r="D11" s="47" t="s">
        <v>19</v>
      </c>
      <c r="E11" s="45">
        <v>160</v>
      </c>
      <c r="F11" s="45">
        <v>54</v>
      </c>
      <c r="G11" s="45">
        <v>73</v>
      </c>
      <c r="H11" s="136">
        <v>1.0669999999999999</v>
      </c>
      <c r="I11" s="151">
        <f t="shared" si="0"/>
        <v>21.093749999999996</v>
      </c>
      <c r="J11" s="43" t="s">
        <v>26</v>
      </c>
      <c r="K11" s="32">
        <f t="shared" si="1"/>
        <v>108.87008768663904</v>
      </c>
      <c r="L11" s="106" t="s">
        <v>270</v>
      </c>
      <c r="M11" s="45">
        <v>190</v>
      </c>
      <c r="N11" s="66">
        <v>15</v>
      </c>
      <c r="O11" s="30">
        <f t="shared" si="2"/>
        <v>5</v>
      </c>
      <c r="P11" s="45">
        <v>4.5999999999999996</v>
      </c>
      <c r="Q11" s="66">
        <v>19</v>
      </c>
      <c r="R11" s="30">
        <f t="shared" si="3"/>
        <v>5</v>
      </c>
      <c r="S11" s="45">
        <v>10.6</v>
      </c>
      <c r="T11" s="66">
        <v>8</v>
      </c>
      <c r="U11" s="30">
        <f t="shared" si="4"/>
        <v>4</v>
      </c>
      <c r="V11" s="45">
        <v>1380</v>
      </c>
      <c r="W11" s="66">
        <v>20</v>
      </c>
      <c r="X11" s="30">
        <f t="shared" si="5"/>
        <v>5</v>
      </c>
      <c r="Y11" s="40">
        <f t="shared" si="6"/>
        <v>62</v>
      </c>
      <c r="Z11" s="30">
        <f t="shared" si="7"/>
        <v>5</v>
      </c>
      <c r="AA11" s="41"/>
      <c r="AB11" s="106" t="s">
        <v>270</v>
      </c>
      <c r="AC11" s="45">
        <v>48</v>
      </c>
      <c r="AD11" s="66">
        <v>20</v>
      </c>
      <c r="AE11" s="30">
        <f t="shared" si="8"/>
        <v>5</v>
      </c>
      <c r="AF11" s="45">
        <v>21</v>
      </c>
      <c r="AG11" s="66">
        <v>20</v>
      </c>
      <c r="AH11" s="30">
        <f t="shared" si="9"/>
        <v>5</v>
      </c>
      <c r="AI11" s="45">
        <v>112</v>
      </c>
      <c r="AJ11" s="66">
        <v>6</v>
      </c>
      <c r="AK11" s="30">
        <f t="shared" si="10"/>
        <v>4</v>
      </c>
      <c r="AL11" s="45">
        <v>5</v>
      </c>
      <c r="AM11" s="66">
        <v>5</v>
      </c>
      <c r="AN11" s="30">
        <f t="shared" si="11"/>
        <v>4</v>
      </c>
      <c r="AO11" s="45">
        <v>13</v>
      </c>
      <c r="AP11" s="66">
        <v>13</v>
      </c>
      <c r="AQ11" s="30">
        <f t="shared" si="12"/>
        <v>5</v>
      </c>
      <c r="AR11" s="45">
        <v>10</v>
      </c>
      <c r="AS11" s="66">
        <v>10</v>
      </c>
      <c r="AT11" s="30">
        <f t="shared" si="13"/>
        <v>5</v>
      </c>
      <c r="AU11" s="40">
        <f t="shared" si="14"/>
        <v>74</v>
      </c>
      <c r="AV11" s="30">
        <f t="shared" si="15"/>
        <v>5</v>
      </c>
      <c r="AW11" s="40">
        <f t="shared" si="16"/>
        <v>136</v>
      </c>
      <c r="AX11" s="30">
        <f t="shared" si="17"/>
        <v>5</v>
      </c>
      <c r="AY11" s="41"/>
      <c r="AZ11" s="106" t="s">
        <v>270</v>
      </c>
      <c r="BA11" s="65"/>
      <c r="BB11" s="343"/>
      <c r="BC11" s="30">
        <v>2</v>
      </c>
      <c r="BD11" s="65"/>
      <c r="BE11" s="343"/>
      <c r="BF11" s="30">
        <v>2</v>
      </c>
      <c r="BG11" s="65">
        <v>3</v>
      </c>
      <c r="BH11" s="343">
        <v>0</v>
      </c>
      <c r="BI11" s="30">
        <f t="shared" si="18"/>
        <v>2</v>
      </c>
      <c r="BJ11" s="65">
        <v>2</v>
      </c>
      <c r="BK11" s="343">
        <v>0</v>
      </c>
      <c r="BL11" s="30">
        <f t="shared" si="19"/>
        <v>2</v>
      </c>
      <c r="BM11" s="65">
        <v>0</v>
      </c>
      <c r="BN11" s="343">
        <v>0</v>
      </c>
      <c r="BO11" s="30" t="str">
        <f t="shared" si="20"/>
        <v/>
      </c>
      <c r="BP11" s="40">
        <f t="shared" si="21"/>
        <v>0</v>
      </c>
      <c r="BQ11" s="30" t="str">
        <f t="shared" si="22"/>
        <v/>
      </c>
      <c r="BR11" s="40">
        <f t="shared" si="23"/>
        <v>136</v>
      </c>
      <c r="BS11" s="41"/>
      <c r="BT11" s="65">
        <v>16.2</v>
      </c>
      <c r="BU11" s="343">
        <v>16</v>
      </c>
      <c r="BV11" s="30">
        <f t="shared" si="24"/>
        <v>5</v>
      </c>
      <c r="BW11" s="65">
        <v>12.06</v>
      </c>
      <c r="BX11" s="343">
        <v>3</v>
      </c>
      <c r="BY11" s="30">
        <f t="shared" si="25"/>
        <v>3</v>
      </c>
      <c r="BZ11" s="65">
        <v>17</v>
      </c>
      <c r="CA11" s="343">
        <v>9</v>
      </c>
      <c r="CB11" s="30">
        <f t="shared" si="26"/>
        <v>4</v>
      </c>
      <c r="CC11" s="65">
        <v>18</v>
      </c>
      <c r="CD11" s="343">
        <v>20</v>
      </c>
      <c r="CE11" s="30">
        <f t="shared" si="27"/>
        <v>5</v>
      </c>
      <c r="CF11" s="40">
        <f t="shared" si="28"/>
        <v>48</v>
      </c>
      <c r="CG11" s="30">
        <f t="shared" si="29"/>
        <v>5</v>
      </c>
      <c r="CH11" s="40">
        <f t="shared" si="30"/>
        <v>48</v>
      </c>
      <c r="CI11" s="30">
        <f t="shared" si="31"/>
        <v>4</v>
      </c>
      <c r="CJ11" s="40">
        <f t="shared" si="32"/>
        <v>184</v>
      </c>
      <c r="CK11" s="30">
        <f t="shared" si="33"/>
        <v>5</v>
      </c>
      <c r="CL11" s="41"/>
      <c r="CM11" s="106" t="s">
        <v>270</v>
      </c>
    </row>
    <row r="12" spans="1:91">
      <c r="A12" s="3"/>
      <c r="B12" s="106" t="s">
        <v>271</v>
      </c>
      <c r="C12" s="150">
        <v>33814</v>
      </c>
      <c r="D12" s="47" t="s">
        <v>19</v>
      </c>
      <c r="E12" s="32">
        <v>162</v>
      </c>
      <c r="F12" s="32">
        <v>53</v>
      </c>
      <c r="G12" s="32">
        <v>72</v>
      </c>
      <c r="H12" s="136">
        <v>1.036</v>
      </c>
      <c r="I12" s="151">
        <f t="shared" si="0"/>
        <v>20.195092211553114</v>
      </c>
      <c r="J12" s="43" t="s">
        <v>30</v>
      </c>
      <c r="K12" s="32">
        <f t="shared" si="1"/>
        <v>118.36389961389962</v>
      </c>
      <c r="L12" s="106" t="s">
        <v>271</v>
      </c>
      <c r="M12" s="32">
        <v>156</v>
      </c>
      <c r="N12" s="40">
        <v>0</v>
      </c>
      <c r="O12" s="30">
        <f t="shared" si="2"/>
        <v>2</v>
      </c>
      <c r="P12" s="32">
        <v>4.9000000000000004</v>
      </c>
      <c r="Q12" s="40">
        <v>14</v>
      </c>
      <c r="R12" s="30">
        <f t="shared" si="3"/>
        <v>5</v>
      </c>
      <c r="S12" s="32">
        <v>10.700000000000001</v>
      </c>
      <c r="T12" s="40">
        <v>7</v>
      </c>
      <c r="U12" s="30">
        <f t="shared" si="4"/>
        <v>4</v>
      </c>
      <c r="V12" s="32">
        <v>1450</v>
      </c>
      <c r="W12" s="40">
        <v>20</v>
      </c>
      <c r="X12" s="30">
        <f t="shared" si="5"/>
        <v>5</v>
      </c>
      <c r="Y12" s="40">
        <f t="shared" si="6"/>
        <v>41</v>
      </c>
      <c r="Z12" s="30">
        <f t="shared" si="7"/>
        <v>5</v>
      </c>
      <c r="AA12" s="41"/>
      <c r="AB12" s="106" t="s">
        <v>271</v>
      </c>
      <c r="AC12" s="32">
        <v>40</v>
      </c>
      <c r="AD12" s="40">
        <v>20</v>
      </c>
      <c r="AE12" s="30">
        <f t="shared" si="8"/>
        <v>5</v>
      </c>
      <c r="AF12" s="32">
        <v>23</v>
      </c>
      <c r="AG12" s="40">
        <v>20</v>
      </c>
      <c r="AH12" s="30">
        <f t="shared" si="9"/>
        <v>5</v>
      </c>
      <c r="AI12" s="32">
        <v>148</v>
      </c>
      <c r="AJ12" s="40">
        <v>12</v>
      </c>
      <c r="AK12" s="30">
        <f t="shared" si="10"/>
        <v>5</v>
      </c>
      <c r="AL12" s="32">
        <v>2</v>
      </c>
      <c r="AM12" s="40">
        <v>0</v>
      </c>
      <c r="AN12" s="30">
        <f t="shared" si="11"/>
        <v>2</v>
      </c>
      <c r="AO12" s="32">
        <v>15</v>
      </c>
      <c r="AP12" s="40">
        <v>15</v>
      </c>
      <c r="AQ12" s="30">
        <f t="shared" si="12"/>
        <v>5</v>
      </c>
      <c r="AR12" s="45">
        <v>5</v>
      </c>
      <c r="AS12" s="40">
        <v>5</v>
      </c>
      <c r="AT12" s="30">
        <f t="shared" si="13"/>
        <v>4</v>
      </c>
      <c r="AU12" s="40">
        <f t="shared" si="14"/>
        <v>72</v>
      </c>
      <c r="AV12" s="30">
        <f t="shared" si="15"/>
        <v>5</v>
      </c>
      <c r="AW12" s="40">
        <f t="shared" si="16"/>
        <v>113</v>
      </c>
      <c r="AX12" s="30">
        <f t="shared" si="17"/>
        <v>5</v>
      </c>
      <c r="AY12" s="41"/>
      <c r="AZ12" s="106" t="s">
        <v>271</v>
      </c>
      <c r="BA12" s="31"/>
      <c r="BB12" s="344">
        <v>5</v>
      </c>
      <c r="BC12" s="30">
        <v>4</v>
      </c>
      <c r="BD12" s="31"/>
      <c r="BE12" s="344">
        <v>5</v>
      </c>
      <c r="BF12" s="30">
        <v>4</v>
      </c>
      <c r="BG12" s="31">
        <v>4</v>
      </c>
      <c r="BH12" s="344">
        <v>0</v>
      </c>
      <c r="BI12" s="30">
        <f t="shared" si="18"/>
        <v>2</v>
      </c>
      <c r="BJ12" s="31">
        <v>4</v>
      </c>
      <c r="BK12" s="344">
        <v>0</v>
      </c>
      <c r="BL12" s="30">
        <f t="shared" si="19"/>
        <v>2</v>
      </c>
      <c r="BM12" s="31">
        <v>4</v>
      </c>
      <c r="BN12" s="344">
        <v>14</v>
      </c>
      <c r="BO12" s="30">
        <f t="shared" si="20"/>
        <v>5</v>
      </c>
      <c r="BP12" s="40">
        <f t="shared" si="21"/>
        <v>24</v>
      </c>
      <c r="BQ12" s="30">
        <f t="shared" si="22"/>
        <v>4</v>
      </c>
      <c r="BR12" s="40">
        <f t="shared" si="23"/>
        <v>137</v>
      </c>
      <c r="BS12" s="41"/>
      <c r="BT12" s="31">
        <v>17.399999999999999</v>
      </c>
      <c r="BU12" s="344">
        <v>3</v>
      </c>
      <c r="BV12" s="30">
        <f t="shared" si="24"/>
        <v>3</v>
      </c>
      <c r="BW12" s="31">
        <v>10.28</v>
      </c>
      <c r="BX12" s="344">
        <v>8</v>
      </c>
      <c r="BY12" s="30">
        <f t="shared" si="25"/>
        <v>4</v>
      </c>
      <c r="BZ12" s="31">
        <v>20</v>
      </c>
      <c r="CA12" s="344">
        <v>14</v>
      </c>
      <c r="CB12" s="30">
        <f t="shared" si="26"/>
        <v>5</v>
      </c>
      <c r="CC12" s="31">
        <v>1</v>
      </c>
      <c r="CD12" s="344">
        <v>0</v>
      </c>
      <c r="CE12" s="30">
        <f t="shared" si="27"/>
        <v>2</v>
      </c>
      <c r="CF12" s="40">
        <f t="shared" si="28"/>
        <v>25</v>
      </c>
      <c r="CG12" s="30">
        <f t="shared" si="29"/>
        <v>4</v>
      </c>
      <c r="CH12" s="40">
        <f t="shared" si="30"/>
        <v>49</v>
      </c>
      <c r="CI12" s="30">
        <f t="shared" si="31"/>
        <v>4</v>
      </c>
      <c r="CJ12" s="40">
        <f t="shared" si="32"/>
        <v>162</v>
      </c>
      <c r="CK12" s="30">
        <f t="shared" si="33"/>
        <v>5</v>
      </c>
      <c r="CL12" s="41"/>
      <c r="CM12" s="106" t="s">
        <v>271</v>
      </c>
    </row>
    <row r="13" spans="1:91">
      <c r="A13" s="3"/>
      <c r="B13" s="106" t="s">
        <v>272</v>
      </c>
      <c r="C13" s="150">
        <v>33864</v>
      </c>
      <c r="D13" s="47" t="s">
        <v>19</v>
      </c>
      <c r="E13" s="32">
        <v>158</v>
      </c>
      <c r="F13" s="32">
        <v>69</v>
      </c>
      <c r="G13" s="32">
        <v>85</v>
      </c>
      <c r="H13" s="136">
        <v>1.036</v>
      </c>
      <c r="I13" s="151">
        <f t="shared" si="0"/>
        <v>27.639801313892001</v>
      </c>
      <c r="J13" s="47" t="s">
        <v>21</v>
      </c>
      <c r="K13" s="32">
        <f t="shared" si="1"/>
        <v>79.843288666818083</v>
      </c>
      <c r="L13" s="106" t="s">
        <v>272</v>
      </c>
      <c r="M13" s="32">
        <v>161</v>
      </c>
      <c r="N13" s="40">
        <v>0</v>
      </c>
      <c r="O13" s="30">
        <f t="shared" si="2"/>
        <v>2</v>
      </c>
      <c r="P13" s="32">
        <v>5.2</v>
      </c>
      <c r="Q13" s="40">
        <v>8</v>
      </c>
      <c r="R13" s="30">
        <f t="shared" si="3"/>
        <v>4</v>
      </c>
      <c r="S13" s="32">
        <v>11</v>
      </c>
      <c r="T13" s="40">
        <v>1</v>
      </c>
      <c r="U13" s="30">
        <f t="shared" si="4"/>
        <v>3</v>
      </c>
      <c r="V13" s="32">
        <v>1290</v>
      </c>
      <c r="W13" s="40">
        <v>17</v>
      </c>
      <c r="X13" s="30">
        <f t="shared" si="5"/>
        <v>5</v>
      </c>
      <c r="Y13" s="40">
        <f t="shared" si="6"/>
        <v>26</v>
      </c>
      <c r="Z13" s="30">
        <f t="shared" si="7"/>
        <v>4</v>
      </c>
      <c r="AA13" s="41"/>
      <c r="AB13" s="106" t="s">
        <v>272</v>
      </c>
      <c r="AC13" s="32">
        <v>40</v>
      </c>
      <c r="AD13" s="40">
        <v>20</v>
      </c>
      <c r="AE13" s="30">
        <f t="shared" si="8"/>
        <v>5</v>
      </c>
      <c r="AF13" s="32">
        <v>21</v>
      </c>
      <c r="AG13" s="40">
        <v>20</v>
      </c>
      <c r="AH13" s="30">
        <f t="shared" si="9"/>
        <v>5</v>
      </c>
      <c r="AI13" s="32">
        <v>154</v>
      </c>
      <c r="AJ13" s="40">
        <v>14</v>
      </c>
      <c r="AK13" s="30">
        <f t="shared" si="10"/>
        <v>5</v>
      </c>
      <c r="AL13" s="32">
        <v>1</v>
      </c>
      <c r="AM13" s="40">
        <v>0</v>
      </c>
      <c r="AN13" s="30">
        <f t="shared" si="11"/>
        <v>2</v>
      </c>
      <c r="AO13" s="32">
        <v>12</v>
      </c>
      <c r="AP13" s="40">
        <v>12</v>
      </c>
      <c r="AQ13" s="30">
        <f t="shared" si="12"/>
        <v>5</v>
      </c>
      <c r="AR13" s="45">
        <v>9</v>
      </c>
      <c r="AS13" s="40">
        <v>9</v>
      </c>
      <c r="AT13" s="30">
        <f t="shared" si="13"/>
        <v>4</v>
      </c>
      <c r="AU13" s="40">
        <f t="shared" si="14"/>
        <v>75</v>
      </c>
      <c r="AV13" s="30">
        <f t="shared" si="15"/>
        <v>5</v>
      </c>
      <c r="AW13" s="40">
        <f t="shared" si="16"/>
        <v>101</v>
      </c>
      <c r="AX13" s="30">
        <f t="shared" si="17"/>
        <v>5</v>
      </c>
      <c r="AY13" s="41"/>
      <c r="AZ13" s="106" t="s">
        <v>272</v>
      </c>
      <c r="BA13" s="31"/>
      <c r="BB13" s="344">
        <v>5</v>
      </c>
      <c r="BC13" s="30">
        <v>4</v>
      </c>
      <c r="BD13" s="31"/>
      <c r="BE13" s="344">
        <v>5</v>
      </c>
      <c r="BF13" s="30">
        <v>4</v>
      </c>
      <c r="BG13" s="31">
        <v>11</v>
      </c>
      <c r="BH13" s="344">
        <v>11</v>
      </c>
      <c r="BI13" s="30">
        <f t="shared" si="18"/>
        <v>5</v>
      </c>
      <c r="BJ13" s="31">
        <v>6</v>
      </c>
      <c r="BK13" s="344">
        <v>1</v>
      </c>
      <c r="BL13" s="30">
        <f t="shared" si="19"/>
        <v>3</v>
      </c>
      <c r="BM13" s="31">
        <v>2</v>
      </c>
      <c r="BN13" s="344">
        <v>5</v>
      </c>
      <c r="BO13" s="30">
        <f t="shared" si="20"/>
        <v>4</v>
      </c>
      <c r="BP13" s="40">
        <f t="shared" si="21"/>
        <v>27</v>
      </c>
      <c r="BQ13" s="30">
        <f t="shared" si="22"/>
        <v>4</v>
      </c>
      <c r="BR13" s="40">
        <f t="shared" si="23"/>
        <v>128</v>
      </c>
      <c r="BS13" s="41"/>
      <c r="BT13" s="31">
        <v>18.399999999999999</v>
      </c>
      <c r="BU13" s="344">
        <v>0</v>
      </c>
      <c r="BV13" s="30">
        <f t="shared" si="24"/>
        <v>2</v>
      </c>
      <c r="BW13" s="31">
        <v>14.28</v>
      </c>
      <c r="BX13" s="344">
        <v>0</v>
      </c>
      <c r="BY13" s="30">
        <f t="shared" si="25"/>
        <v>2</v>
      </c>
      <c r="BZ13" s="31">
        <v>22</v>
      </c>
      <c r="CA13" s="344">
        <v>17</v>
      </c>
      <c r="CB13" s="30">
        <f t="shared" si="26"/>
        <v>5</v>
      </c>
      <c r="CC13" s="31">
        <v>1</v>
      </c>
      <c r="CD13" s="344">
        <v>0</v>
      </c>
      <c r="CE13" s="30">
        <f t="shared" si="27"/>
        <v>2</v>
      </c>
      <c r="CF13" s="40">
        <f t="shared" si="28"/>
        <v>17</v>
      </c>
      <c r="CG13" s="30">
        <f t="shared" si="29"/>
        <v>4</v>
      </c>
      <c r="CH13" s="40">
        <f t="shared" si="30"/>
        <v>44</v>
      </c>
      <c r="CI13" s="30">
        <f t="shared" si="31"/>
        <v>4</v>
      </c>
      <c r="CJ13" s="40">
        <f t="shared" si="32"/>
        <v>145</v>
      </c>
      <c r="CK13" s="30">
        <f t="shared" si="33"/>
        <v>4</v>
      </c>
      <c r="CL13" s="41"/>
      <c r="CM13" s="106" t="s">
        <v>272</v>
      </c>
    </row>
    <row r="14" spans="1:91">
      <c r="A14" s="3"/>
      <c r="B14" s="106" t="s">
        <v>273</v>
      </c>
      <c r="C14" s="150">
        <v>33646</v>
      </c>
      <c r="D14" s="47" t="s">
        <v>19</v>
      </c>
      <c r="E14" s="32">
        <v>170</v>
      </c>
      <c r="F14" s="32">
        <v>61</v>
      </c>
      <c r="G14" s="32">
        <v>74</v>
      </c>
      <c r="H14" s="136">
        <v>1.036</v>
      </c>
      <c r="I14" s="151">
        <f t="shared" si="0"/>
        <v>21.107266435986162</v>
      </c>
      <c r="J14" s="43" t="s">
        <v>26</v>
      </c>
      <c r="K14" s="32">
        <f t="shared" si="1"/>
        <v>120.85202963581342</v>
      </c>
      <c r="L14" s="106" t="s">
        <v>273</v>
      </c>
      <c r="M14" s="32">
        <v>160</v>
      </c>
      <c r="N14" s="40">
        <v>0</v>
      </c>
      <c r="O14" s="30">
        <f t="shared" si="2"/>
        <v>2</v>
      </c>
      <c r="P14" s="32">
        <v>4.9000000000000004</v>
      </c>
      <c r="Q14" s="40">
        <v>14</v>
      </c>
      <c r="R14" s="30">
        <f t="shared" si="3"/>
        <v>5</v>
      </c>
      <c r="S14" s="32">
        <v>11.5</v>
      </c>
      <c r="T14" s="40">
        <v>0</v>
      </c>
      <c r="U14" s="30">
        <f t="shared" si="4"/>
        <v>2</v>
      </c>
      <c r="V14" s="32">
        <v>1310</v>
      </c>
      <c r="W14" s="40">
        <v>19</v>
      </c>
      <c r="X14" s="30">
        <f t="shared" si="5"/>
        <v>5</v>
      </c>
      <c r="Y14" s="40">
        <f t="shared" si="6"/>
        <v>33</v>
      </c>
      <c r="Z14" s="30">
        <f t="shared" si="7"/>
        <v>5</v>
      </c>
      <c r="AA14" s="41"/>
      <c r="AB14" s="106" t="s">
        <v>273</v>
      </c>
      <c r="AC14" s="32">
        <v>37</v>
      </c>
      <c r="AD14" s="40">
        <v>14</v>
      </c>
      <c r="AE14" s="30">
        <f t="shared" si="8"/>
        <v>5</v>
      </c>
      <c r="AF14" s="32">
        <v>18</v>
      </c>
      <c r="AG14" s="40">
        <v>10</v>
      </c>
      <c r="AH14" s="30">
        <f t="shared" si="9"/>
        <v>5</v>
      </c>
      <c r="AI14" s="32">
        <v>130</v>
      </c>
      <c r="AJ14" s="40">
        <v>9</v>
      </c>
      <c r="AK14" s="30">
        <f t="shared" si="10"/>
        <v>4</v>
      </c>
      <c r="AL14" s="32">
        <v>11</v>
      </c>
      <c r="AM14" s="40">
        <v>20</v>
      </c>
      <c r="AN14" s="30">
        <f t="shared" si="11"/>
        <v>5</v>
      </c>
      <c r="AO14" s="32"/>
      <c r="AP14" s="40"/>
      <c r="AQ14" s="30" t="str">
        <f t="shared" si="12"/>
        <v/>
      </c>
      <c r="AR14" s="32">
        <v>8</v>
      </c>
      <c r="AS14" s="40">
        <v>8</v>
      </c>
      <c r="AT14" s="30">
        <f t="shared" si="13"/>
        <v>4</v>
      </c>
      <c r="AU14" s="40">
        <f t="shared" si="14"/>
        <v>61</v>
      </c>
      <c r="AV14" s="30">
        <f t="shared" si="15"/>
        <v>5</v>
      </c>
      <c r="AW14" s="40">
        <f t="shared" si="16"/>
        <v>94</v>
      </c>
      <c r="AX14" s="30">
        <f t="shared" si="17"/>
        <v>5</v>
      </c>
      <c r="AY14" s="41"/>
      <c r="AZ14" s="106" t="s">
        <v>273</v>
      </c>
      <c r="BA14" s="31"/>
      <c r="BB14" s="344">
        <v>5</v>
      </c>
      <c r="BC14" s="30">
        <v>4</v>
      </c>
      <c r="BD14" s="31"/>
      <c r="BE14" s="344">
        <v>5</v>
      </c>
      <c r="BF14" s="30">
        <v>4</v>
      </c>
      <c r="BG14" s="31">
        <v>7</v>
      </c>
      <c r="BH14" s="344">
        <v>3</v>
      </c>
      <c r="BI14" s="30">
        <f t="shared" si="18"/>
        <v>3</v>
      </c>
      <c r="BJ14" s="31">
        <v>3</v>
      </c>
      <c r="BK14" s="344">
        <v>0</v>
      </c>
      <c r="BL14" s="30">
        <f t="shared" si="19"/>
        <v>2</v>
      </c>
      <c r="BM14" s="31">
        <v>2</v>
      </c>
      <c r="BN14" s="344">
        <v>5</v>
      </c>
      <c r="BO14" s="30">
        <f t="shared" si="20"/>
        <v>4</v>
      </c>
      <c r="BP14" s="40">
        <f t="shared" si="21"/>
        <v>18</v>
      </c>
      <c r="BQ14" s="30">
        <f t="shared" si="22"/>
        <v>4</v>
      </c>
      <c r="BR14" s="40">
        <f t="shared" si="23"/>
        <v>112</v>
      </c>
      <c r="BS14" s="41"/>
      <c r="BT14" s="31"/>
      <c r="BU14" s="344"/>
      <c r="BV14" s="30" t="str">
        <f t="shared" si="24"/>
        <v/>
      </c>
      <c r="BW14" s="31">
        <v>12.38</v>
      </c>
      <c r="BX14" s="344">
        <v>1</v>
      </c>
      <c r="BY14" s="30">
        <f t="shared" si="25"/>
        <v>3</v>
      </c>
      <c r="BZ14" s="31">
        <v>22</v>
      </c>
      <c r="CA14" s="344">
        <v>17</v>
      </c>
      <c r="CB14" s="30">
        <f t="shared" si="26"/>
        <v>5</v>
      </c>
      <c r="CC14" s="31">
        <v>1</v>
      </c>
      <c r="CD14" s="344">
        <v>0</v>
      </c>
      <c r="CE14" s="30">
        <f t="shared" si="27"/>
        <v>2</v>
      </c>
      <c r="CF14" s="40">
        <f t="shared" si="28"/>
        <v>18</v>
      </c>
      <c r="CG14" s="30">
        <f t="shared" si="29"/>
        <v>4</v>
      </c>
      <c r="CH14" s="40">
        <f t="shared" si="30"/>
        <v>36</v>
      </c>
      <c r="CI14" s="30">
        <f t="shared" si="31"/>
        <v>4</v>
      </c>
      <c r="CJ14" s="40">
        <f t="shared" si="32"/>
        <v>130</v>
      </c>
      <c r="CK14" s="30">
        <f t="shared" si="33"/>
        <v>4</v>
      </c>
      <c r="CL14" s="41"/>
      <c r="CM14" s="106" t="s">
        <v>273</v>
      </c>
    </row>
    <row r="15" spans="1:91">
      <c r="A15" s="104"/>
      <c r="B15" s="144" t="s">
        <v>274</v>
      </c>
      <c r="C15" s="150">
        <v>33858</v>
      </c>
      <c r="D15" s="47" t="s">
        <v>19</v>
      </c>
      <c r="E15" s="32">
        <v>166</v>
      </c>
      <c r="F15" s="32">
        <v>59</v>
      </c>
      <c r="G15" s="32">
        <v>77</v>
      </c>
      <c r="H15" s="136">
        <v>1.036</v>
      </c>
      <c r="I15" s="151">
        <f t="shared" si="0"/>
        <v>21.410944984758313</v>
      </c>
      <c r="J15" s="43" t="s">
        <v>26</v>
      </c>
      <c r="K15" s="32">
        <f t="shared" si="1"/>
        <v>111.32978990121846</v>
      </c>
      <c r="L15" s="106" t="s">
        <v>274</v>
      </c>
      <c r="M15" s="32">
        <v>156</v>
      </c>
      <c r="N15" s="40">
        <v>0</v>
      </c>
      <c r="O15" s="30">
        <f t="shared" si="2"/>
        <v>2</v>
      </c>
      <c r="P15" s="32">
        <v>5</v>
      </c>
      <c r="Q15" s="40">
        <v>12</v>
      </c>
      <c r="R15" s="30">
        <f t="shared" si="3"/>
        <v>5</v>
      </c>
      <c r="S15" s="32">
        <v>10.6</v>
      </c>
      <c r="T15" s="40">
        <v>8</v>
      </c>
      <c r="U15" s="30">
        <f t="shared" si="4"/>
        <v>4</v>
      </c>
      <c r="V15" s="32">
        <v>1350</v>
      </c>
      <c r="W15" s="40">
        <v>20</v>
      </c>
      <c r="X15" s="30">
        <f t="shared" si="5"/>
        <v>5</v>
      </c>
      <c r="Y15" s="40">
        <f t="shared" si="6"/>
        <v>40</v>
      </c>
      <c r="Z15" s="30">
        <f t="shared" si="7"/>
        <v>5</v>
      </c>
      <c r="AA15" s="41"/>
      <c r="AB15" s="106" t="s">
        <v>274</v>
      </c>
      <c r="AC15" s="32">
        <v>25</v>
      </c>
      <c r="AD15" s="40">
        <v>1</v>
      </c>
      <c r="AE15" s="30">
        <f t="shared" si="8"/>
        <v>3</v>
      </c>
      <c r="AF15" s="32">
        <v>14</v>
      </c>
      <c r="AG15" s="40">
        <v>5</v>
      </c>
      <c r="AH15" s="30">
        <f t="shared" si="9"/>
        <v>4</v>
      </c>
      <c r="AI15" s="32">
        <v>106</v>
      </c>
      <c r="AJ15" s="40">
        <v>5</v>
      </c>
      <c r="AK15" s="30">
        <f t="shared" si="10"/>
        <v>4</v>
      </c>
      <c r="AL15" s="32">
        <v>1</v>
      </c>
      <c r="AM15" s="40">
        <v>0</v>
      </c>
      <c r="AN15" s="30">
        <f t="shared" si="11"/>
        <v>2</v>
      </c>
      <c r="AO15" s="32"/>
      <c r="AP15" s="40"/>
      <c r="AQ15" s="30" t="str">
        <f t="shared" si="12"/>
        <v/>
      </c>
      <c r="AR15" s="32"/>
      <c r="AS15" s="40"/>
      <c r="AT15" s="30" t="str">
        <f t="shared" si="13"/>
        <v/>
      </c>
      <c r="AU15" s="40">
        <f t="shared" si="14"/>
        <v>11</v>
      </c>
      <c r="AV15" s="30">
        <f t="shared" si="15"/>
        <v>3</v>
      </c>
      <c r="AW15" s="40">
        <f t="shared" si="16"/>
        <v>51</v>
      </c>
      <c r="AX15" s="30">
        <f t="shared" si="17"/>
        <v>4</v>
      </c>
      <c r="AY15" s="41"/>
      <c r="AZ15" s="106" t="s">
        <v>274</v>
      </c>
      <c r="BA15" s="31"/>
      <c r="BB15" s="344">
        <v>5</v>
      </c>
      <c r="BC15" s="30">
        <v>4</v>
      </c>
      <c r="BD15" s="31"/>
      <c r="BE15" s="344">
        <v>5</v>
      </c>
      <c r="BF15" s="30">
        <v>4</v>
      </c>
      <c r="BG15" s="31"/>
      <c r="BH15" s="344"/>
      <c r="BI15" s="30" t="str">
        <f t="shared" si="18"/>
        <v/>
      </c>
      <c r="BJ15" s="31"/>
      <c r="BK15" s="344"/>
      <c r="BL15" s="30" t="str">
        <f t="shared" si="19"/>
        <v/>
      </c>
      <c r="BM15" s="31">
        <v>2</v>
      </c>
      <c r="BN15" s="344">
        <v>5</v>
      </c>
      <c r="BO15" s="30">
        <f t="shared" si="20"/>
        <v>4</v>
      </c>
      <c r="BP15" s="40">
        <f t="shared" si="21"/>
        <v>15</v>
      </c>
      <c r="BQ15" s="30">
        <f t="shared" si="22"/>
        <v>3</v>
      </c>
      <c r="BR15" s="40">
        <f t="shared" si="23"/>
        <v>66</v>
      </c>
      <c r="BS15" s="41"/>
      <c r="BT15" s="31">
        <v>17.3</v>
      </c>
      <c r="BU15" s="344">
        <v>3</v>
      </c>
      <c r="BV15" s="30">
        <f t="shared" si="24"/>
        <v>3</v>
      </c>
      <c r="BW15" s="31">
        <v>12</v>
      </c>
      <c r="BX15" s="344">
        <v>3</v>
      </c>
      <c r="BY15" s="30">
        <f t="shared" si="25"/>
        <v>3</v>
      </c>
      <c r="BZ15" s="31">
        <v>21</v>
      </c>
      <c r="CA15" s="344">
        <v>16</v>
      </c>
      <c r="CB15" s="30">
        <f t="shared" si="26"/>
        <v>5</v>
      </c>
      <c r="CC15" s="31">
        <v>2</v>
      </c>
      <c r="CD15" s="344">
        <v>0</v>
      </c>
      <c r="CE15" s="30">
        <f t="shared" si="27"/>
        <v>2</v>
      </c>
      <c r="CF15" s="40">
        <f t="shared" si="28"/>
        <v>22</v>
      </c>
      <c r="CG15" s="30">
        <f t="shared" si="29"/>
        <v>4</v>
      </c>
      <c r="CH15" s="40">
        <f t="shared" si="30"/>
        <v>37</v>
      </c>
      <c r="CI15" s="30">
        <f t="shared" si="31"/>
        <v>4</v>
      </c>
      <c r="CJ15" s="40">
        <f t="shared" si="32"/>
        <v>88</v>
      </c>
      <c r="CK15" s="30">
        <f t="shared" si="33"/>
        <v>4</v>
      </c>
      <c r="CL15" s="41"/>
      <c r="CM15" s="106" t="s">
        <v>274</v>
      </c>
    </row>
    <row r="16" spans="1:91">
      <c r="A16" s="334"/>
      <c r="B16" s="335"/>
      <c r="C16" s="110"/>
      <c r="D16" s="110"/>
      <c r="E16" s="170"/>
      <c r="F16" s="170"/>
      <c r="G16" s="170"/>
      <c r="H16" s="170"/>
      <c r="I16" s="170"/>
      <c r="J16" s="170"/>
      <c r="K16" s="170"/>
      <c r="L16" s="157"/>
      <c r="M16" s="187"/>
      <c r="N16" s="187"/>
      <c r="O16" s="37"/>
      <c r="P16" s="187"/>
      <c r="Q16" s="187"/>
      <c r="R16" s="188"/>
      <c r="S16" s="187"/>
      <c r="T16" s="158"/>
      <c r="U16" s="37"/>
      <c r="V16" s="187"/>
      <c r="W16" s="187"/>
      <c r="X16" s="188"/>
      <c r="Y16" s="158"/>
      <c r="Z16" s="37"/>
      <c r="AA16" s="125"/>
      <c r="AB16" s="81"/>
      <c r="AC16" s="110"/>
      <c r="AD16" s="110"/>
      <c r="AE16" s="125"/>
      <c r="AF16" s="110"/>
      <c r="AG16" s="110"/>
      <c r="AH16" s="189"/>
      <c r="AI16" s="109"/>
      <c r="AJ16" s="109"/>
      <c r="AK16" s="189"/>
      <c r="AL16" s="109"/>
      <c r="AM16" s="109"/>
      <c r="AN16" s="189"/>
      <c r="AO16" s="109"/>
      <c r="AP16" s="110"/>
      <c r="AQ16" s="189"/>
      <c r="AR16" s="109"/>
      <c r="AS16" s="110"/>
      <c r="AT16" s="125"/>
      <c r="AU16" s="110"/>
      <c r="AV16" s="125"/>
      <c r="AW16" s="110"/>
      <c r="AX16" s="125"/>
      <c r="AY16" s="125"/>
      <c r="AZ16" s="81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J16" s="80"/>
      <c r="CK16" s="80"/>
      <c r="CL16" s="80"/>
      <c r="CM16" s="106"/>
    </row>
    <row r="17" spans="1:91">
      <c r="A17" s="336"/>
      <c r="B17" s="337"/>
      <c r="C17" s="35" t="s">
        <v>19</v>
      </c>
      <c r="D17" s="248">
        <f>COUNTIF(D3:D15,"осн.")</f>
        <v>12</v>
      </c>
      <c r="E17" s="249"/>
      <c r="F17" s="217"/>
      <c r="G17" s="217"/>
      <c r="H17" s="217"/>
      <c r="I17" s="217"/>
      <c r="J17" s="217"/>
      <c r="K17" s="228"/>
      <c r="L17" s="62" t="s">
        <v>132</v>
      </c>
      <c r="M17" s="45"/>
      <c r="N17" s="45"/>
      <c r="O17" s="30">
        <f>AVERAGE(O7:O15)</f>
        <v>2.875</v>
      </c>
      <c r="P17" s="45"/>
      <c r="Q17" s="45"/>
      <c r="R17" s="30">
        <f>AVERAGE(R7:R15)</f>
        <v>4.75</v>
      </c>
      <c r="S17" s="45"/>
      <c r="T17" s="45"/>
      <c r="U17" s="30">
        <f>AVERAGE(U7:U15)</f>
        <v>3.75</v>
      </c>
      <c r="V17" s="45"/>
      <c r="W17" s="45"/>
      <c r="X17" s="30">
        <f>AVERAGE(X7:X15)</f>
        <v>5</v>
      </c>
      <c r="Y17" s="45"/>
      <c r="Z17" s="30">
        <f>AVERAGE(O17:X17)</f>
        <v>4.09375</v>
      </c>
      <c r="AA17" s="33"/>
      <c r="AB17" s="45" t="s">
        <v>132</v>
      </c>
      <c r="AC17" s="45"/>
      <c r="AD17" s="45"/>
      <c r="AE17" s="30">
        <f>AVERAGE(AE7:AE15)</f>
        <v>4.5</v>
      </c>
      <c r="AF17" s="45"/>
      <c r="AG17" s="88"/>
      <c r="AH17" s="30">
        <f>AVERAGE(AH7:AH15)</f>
        <v>4.4285714285714288</v>
      </c>
      <c r="AI17" s="88"/>
      <c r="AJ17" s="45"/>
      <c r="AK17" s="30">
        <f>AVERAGE(AK7:AK15)</f>
        <v>4.25</v>
      </c>
      <c r="AL17" s="45"/>
      <c r="AM17" s="45"/>
      <c r="AN17" s="30">
        <f>AVERAGE(AN7:AN15)</f>
        <v>3.375</v>
      </c>
      <c r="AO17" s="45"/>
      <c r="AP17" s="45"/>
      <c r="AQ17" s="30">
        <f>AVERAGE(AQ7:AQ15)</f>
        <v>5</v>
      </c>
      <c r="AR17" s="45"/>
      <c r="AS17" s="45"/>
      <c r="AT17" s="30">
        <f>AVERAGE(AT7:AT15)</f>
        <v>4.333333333333333</v>
      </c>
      <c r="AU17" s="45"/>
      <c r="AV17" s="30">
        <f>AVERAGE(AE17:AT17)</f>
        <v>4.3144841269841274</v>
      </c>
      <c r="AW17" s="45"/>
      <c r="AX17" s="30">
        <f>AVERAGE(Z17,AV17)</f>
        <v>4.2041170634920633</v>
      </c>
      <c r="AY17" s="33"/>
      <c r="AZ17" s="45" t="s">
        <v>132</v>
      </c>
      <c r="BA17" s="65"/>
      <c r="BB17" s="65"/>
      <c r="BC17" s="30">
        <f>AVERAGE(BC3:BC15)</f>
        <v>3.3636363636363638</v>
      </c>
      <c r="BD17" s="65"/>
      <c r="BE17" s="65"/>
      <c r="BF17" s="30">
        <f>AVERAGE(BF3:BF15)</f>
        <v>3.3636363636363638</v>
      </c>
      <c r="BG17" s="65"/>
      <c r="BH17" s="65"/>
      <c r="BI17" s="30">
        <f>AVERAGE(BI7:BI15)</f>
        <v>3.7142857142857144</v>
      </c>
      <c r="BJ17" s="65"/>
      <c r="BK17" s="65"/>
      <c r="BL17" s="30">
        <f>AVERAGE(BL7:BL15)</f>
        <v>2.5714285714285716</v>
      </c>
      <c r="BM17" s="65"/>
      <c r="BN17" s="65"/>
      <c r="BO17" s="30">
        <f>AVERAGE(BO7:BO15)</f>
        <v>4.5714285714285712</v>
      </c>
      <c r="BP17" s="65"/>
      <c r="BQ17" s="30">
        <f>AVERAGE(BC17:BO17)</f>
        <v>3.5168831168831169</v>
      </c>
      <c r="BR17" s="65"/>
      <c r="BS17" s="65"/>
      <c r="BT17" s="65"/>
      <c r="BU17" s="65"/>
      <c r="BV17" s="30">
        <f>AVERAGE(BV3:BV15)</f>
        <v>3.5454545454545454</v>
      </c>
      <c r="BW17" s="65"/>
      <c r="BX17" s="65"/>
      <c r="BY17" s="30">
        <f>AVERAGE(BY3:BY15)</f>
        <v>3.5454545454545454</v>
      </c>
      <c r="BZ17" s="65"/>
      <c r="CA17" s="65"/>
      <c r="CB17" s="30">
        <f>AVERAGE(CB3:CB15)</f>
        <v>4.5</v>
      </c>
      <c r="CC17" s="65"/>
      <c r="CD17" s="65"/>
      <c r="CE17" s="30">
        <f>AVERAGE(CE3:CE15)</f>
        <v>3.6666666666666665</v>
      </c>
      <c r="CF17" s="65"/>
      <c r="CG17" s="30">
        <f>AVERAGE(BV17:CE17)</f>
        <v>3.814393939393939</v>
      </c>
      <c r="CH17" s="65"/>
      <c r="CI17" s="30">
        <f>AVERAGE(BQ17,CG17)</f>
        <v>3.665638528138528</v>
      </c>
      <c r="CJ17" s="65"/>
      <c r="CK17" s="30">
        <f>AVERAGE(AX17,CI17)</f>
        <v>3.9348777958152956</v>
      </c>
      <c r="CL17" s="33"/>
      <c r="CM17" s="45" t="s">
        <v>132</v>
      </c>
    </row>
    <row r="18" spans="1:91">
      <c r="A18" s="315"/>
      <c r="B18" s="315"/>
      <c r="Y18" s="27" t="s">
        <v>17</v>
      </c>
      <c r="Z18" s="27"/>
    </row>
    <row r="19" spans="1:91">
      <c r="A19" s="315"/>
      <c r="B19" s="319" t="s">
        <v>16</v>
      </c>
      <c r="C19" s="26"/>
      <c r="D19" s="26"/>
      <c r="Y19" s="25" t="s">
        <v>15</v>
      </c>
      <c r="Z19" s="24">
        <v>12</v>
      </c>
      <c r="AI19" s="190"/>
      <c r="AW19" s="24" t="s">
        <v>15</v>
      </c>
      <c r="AX19" s="24">
        <v>12</v>
      </c>
      <c r="AY19" s="91"/>
      <c r="BP19" s="24" t="s">
        <v>15</v>
      </c>
      <c r="BQ19" s="24">
        <v>12</v>
      </c>
      <c r="BR19" s="91"/>
      <c r="BS19" s="91"/>
      <c r="CH19" s="24" t="s">
        <v>15</v>
      </c>
      <c r="CI19" s="24">
        <v>12</v>
      </c>
      <c r="CJ19" s="91"/>
    </row>
    <row r="20" spans="1:91">
      <c r="A20" s="315"/>
      <c r="B20" s="321"/>
      <c r="C20" s="23"/>
      <c r="Y20" s="161" t="s">
        <v>133</v>
      </c>
      <c r="Z20" s="13">
        <f>COUNTIF(Z3:Z15,5)</f>
        <v>9</v>
      </c>
      <c r="AW20" s="128" t="s">
        <v>134</v>
      </c>
      <c r="AX20" s="13">
        <f>COUNTIF(AX3:AX15,5)</f>
        <v>7</v>
      </c>
      <c r="AY20" s="91"/>
      <c r="AZ20" s="92"/>
      <c r="BP20" s="128" t="s">
        <v>134</v>
      </c>
      <c r="BQ20" s="13">
        <f>COUNTIF(BQ3:BQ15,5)</f>
        <v>2</v>
      </c>
      <c r="BR20" s="91"/>
      <c r="BS20" s="91"/>
      <c r="CH20" s="128" t="s">
        <v>134</v>
      </c>
      <c r="CI20" s="13">
        <f>COUNTIF(CI3:CI15,5)</f>
        <v>5</v>
      </c>
      <c r="CJ20" s="91"/>
    </row>
    <row r="21" spans="1:91">
      <c r="A21" s="315"/>
      <c r="B21" s="326" t="s">
        <v>13</v>
      </c>
      <c r="C21" s="20">
        <v>12</v>
      </c>
      <c r="D21" s="19" t="s">
        <v>4</v>
      </c>
      <c r="Y21" s="162" t="s">
        <v>12</v>
      </c>
      <c r="Z21" s="13">
        <f>COUNTIF(Z3:Z15,4)</f>
        <v>3</v>
      </c>
      <c r="AW21" s="129" t="s">
        <v>12</v>
      </c>
      <c r="AX21" s="13">
        <f>COUNTIF(AX3:AX15,4)</f>
        <v>5</v>
      </c>
      <c r="AY21" s="91"/>
      <c r="AZ21" s="92"/>
      <c r="BP21" s="129" t="s">
        <v>12</v>
      </c>
      <c r="BQ21" s="13">
        <f>COUNTIF(BQ3:BQ15,4)</f>
        <v>8</v>
      </c>
      <c r="BR21" s="91"/>
      <c r="BS21" s="91"/>
      <c r="CH21" s="129" t="s">
        <v>12</v>
      </c>
      <c r="CI21" s="13">
        <f>COUNTIF(CI3:CI15,4)</f>
        <v>7</v>
      </c>
      <c r="CJ21" s="91"/>
    </row>
    <row r="22" spans="1:91">
      <c r="A22" s="315"/>
      <c r="B22" s="327" t="s">
        <v>11</v>
      </c>
      <c r="C22" s="2">
        <f>COUNTIF(J3:J15,"деф.массы")</f>
        <v>2</v>
      </c>
      <c r="D22" s="2">
        <f>C22*100/C21</f>
        <v>16.666666666666668</v>
      </c>
      <c r="Y22" s="163" t="s">
        <v>10</v>
      </c>
      <c r="Z22" s="13">
        <f>COUNTIF(Z3:Z15,3)</f>
        <v>0</v>
      </c>
      <c r="AW22" s="130" t="s">
        <v>135</v>
      </c>
      <c r="AX22" s="13">
        <f>COUNTIF(AX3:AX15,3)</f>
        <v>0</v>
      </c>
      <c r="AY22" s="91"/>
      <c r="AZ22" s="92"/>
      <c r="BP22" s="130" t="s">
        <v>135</v>
      </c>
      <c r="BQ22" s="13">
        <f>COUNTIF(BQ3:BQ15,3)</f>
        <v>1</v>
      </c>
      <c r="BR22" s="91"/>
      <c r="BS22" s="91"/>
      <c r="CH22" s="130" t="s">
        <v>135</v>
      </c>
      <c r="CI22" s="13">
        <f>COUNTIF(CI3:CI15,3)</f>
        <v>0</v>
      </c>
      <c r="CJ22" s="91"/>
    </row>
    <row r="23" spans="1:91">
      <c r="A23" s="315"/>
      <c r="B23" s="328" t="s">
        <v>9</v>
      </c>
      <c r="C23" s="2">
        <f>COUNTIF(J3:J15,"гарм.(-)")</f>
        <v>4</v>
      </c>
      <c r="D23" s="359">
        <f>(C23+C24+C25)*100/C21</f>
        <v>75</v>
      </c>
      <c r="Y23" s="164" t="s">
        <v>230</v>
      </c>
      <c r="Z23" s="13">
        <f>COUNTIF(Z3:Z15,2)</f>
        <v>0</v>
      </c>
      <c r="AW23" s="131" t="s">
        <v>136</v>
      </c>
      <c r="AX23" s="13">
        <f>COUNTIF(AX3:AX15,2)</f>
        <v>0</v>
      </c>
      <c r="AY23" s="91"/>
      <c r="AZ23" s="92"/>
      <c r="BP23" s="131" t="s">
        <v>136</v>
      </c>
      <c r="BQ23" s="13">
        <f>COUNTIF(BQ3:BQ15,2)</f>
        <v>0</v>
      </c>
      <c r="BR23" s="91"/>
      <c r="BS23" s="91"/>
      <c r="CH23" s="131" t="s">
        <v>136</v>
      </c>
      <c r="CI23" s="13">
        <f>COUNTIF(CI3:CI15,2)</f>
        <v>0</v>
      </c>
      <c r="CJ23" s="91"/>
    </row>
    <row r="24" spans="1:91">
      <c r="A24" s="315"/>
      <c r="B24" s="329" t="s">
        <v>7</v>
      </c>
      <c r="C24" s="2">
        <f>COUNTIF(J3:J15,"гармонич.")</f>
        <v>4</v>
      </c>
      <c r="D24" s="360"/>
      <c r="Y24" s="3" t="s">
        <v>6</v>
      </c>
      <c r="Z24" s="10">
        <f>COUNTIF(Z3:Z15,"осв.")</f>
        <v>0</v>
      </c>
      <c r="AW24" s="10" t="s">
        <v>96</v>
      </c>
      <c r="AX24" s="10">
        <f>COUNTIF(AX3:AX15,"осв.")</f>
        <v>0</v>
      </c>
      <c r="AY24" s="91"/>
      <c r="AZ24" s="92"/>
      <c r="BP24" s="10" t="s">
        <v>96</v>
      </c>
      <c r="BQ24" s="10">
        <f>COUNTIF(BQ3:BQ15,"осв.")</f>
        <v>0</v>
      </c>
      <c r="BR24" s="91"/>
      <c r="BS24" s="91"/>
      <c r="CH24" s="10" t="s">
        <v>96</v>
      </c>
      <c r="CI24" s="10">
        <f>COUNTIF(CI3:CI15,"осв.")</f>
        <v>0</v>
      </c>
      <c r="CJ24" s="91"/>
    </row>
    <row r="25" spans="1:91">
      <c r="A25" s="315"/>
      <c r="B25" s="330" t="s">
        <v>5</v>
      </c>
      <c r="C25" s="2">
        <f>COUNTIF(J3:J15,"гарм.(+)")</f>
        <v>1</v>
      </c>
      <c r="D25" s="361"/>
      <c r="Y25" s="8"/>
      <c r="Z25" s="7" t="s">
        <v>4</v>
      </c>
      <c r="AW25" s="142"/>
      <c r="AX25" s="7" t="s">
        <v>4</v>
      </c>
      <c r="AY25" s="91"/>
      <c r="AZ25" s="92"/>
      <c r="BP25" s="142"/>
      <c r="BQ25" s="7" t="s">
        <v>4</v>
      </c>
      <c r="BR25" s="91"/>
      <c r="BS25" s="91"/>
      <c r="CH25" s="142"/>
      <c r="CI25" s="7" t="s">
        <v>4</v>
      </c>
      <c r="CJ25" s="91"/>
    </row>
    <row r="26" spans="1:91">
      <c r="A26" s="315"/>
      <c r="B26" s="331" t="s">
        <v>3</v>
      </c>
      <c r="C26" s="2">
        <f>COUNTIF(J3:J15,"тучное")</f>
        <v>1</v>
      </c>
      <c r="D26" s="2">
        <f>C26*100/C21</f>
        <v>8.3333333333333339</v>
      </c>
      <c r="Y26" s="3" t="s">
        <v>2</v>
      </c>
      <c r="Z26" s="2">
        <f>AA26*100/Z19</f>
        <v>8.3333333333333339</v>
      </c>
      <c r="AA26" s="5">
        <f>COUNTIF(AA3:AA12,5)</f>
        <v>1</v>
      </c>
      <c r="AB26" s="4"/>
      <c r="AW26" s="10" t="s">
        <v>2</v>
      </c>
      <c r="AX26" s="2">
        <f>AY26*100/AX19</f>
        <v>8.3333333333333339</v>
      </c>
      <c r="AY26" s="2">
        <f>COUNTIF(AY3:AY12,5)</f>
        <v>1</v>
      </c>
      <c r="AZ26" s="92"/>
      <c r="BP26" s="165" t="s">
        <v>2</v>
      </c>
      <c r="BQ26" s="133">
        <f>BR26*100/BQ19</f>
        <v>0</v>
      </c>
      <c r="BR26" s="246"/>
      <c r="BS26" s="2">
        <f>COUNTIF(BS3:BS12,5)</f>
        <v>0</v>
      </c>
      <c r="CH26" s="165" t="s">
        <v>2</v>
      </c>
      <c r="CI26" s="133">
        <f>CL26*100/CI19</f>
        <v>8.3333333333333339</v>
      </c>
      <c r="CJ26" s="246"/>
      <c r="CL26" s="2">
        <f>COUNTIF(CL3:CL12,5)</f>
        <v>1</v>
      </c>
    </row>
    <row r="27" spans="1:91">
      <c r="A27" s="315"/>
      <c r="B27" s="323"/>
      <c r="C27" s="315"/>
      <c r="D27" s="315"/>
      <c r="Y27" s="3" t="s">
        <v>1</v>
      </c>
      <c r="Z27" s="2">
        <f>(Z20+Z21+Z24)/Z19*100</f>
        <v>100</v>
      </c>
      <c r="AW27" s="10" t="s">
        <v>1</v>
      </c>
      <c r="AX27" s="2">
        <f>(AX20+AX21+AX24)/AX19*100</f>
        <v>100</v>
      </c>
      <c r="AY27" s="91"/>
      <c r="AZ27" s="191"/>
      <c r="BP27" s="165" t="s">
        <v>1</v>
      </c>
      <c r="BQ27" s="2">
        <f>(BQ20+BQ21+BQ24)/BQ19*100</f>
        <v>83.333333333333343</v>
      </c>
      <c r="BR27" s="91"/>
      <c r="BS27" s="91"/>
      <c r="CH27" s="165" t="s">
        <v>1</v>
      </c>
      <c r="CI27" s="2">
        <f>(CI20+CI21+CI24)/CI19*100</f>
        <v>100</v>
      </c>
      <c r="CJ27" s="91"/>
    </row>
    <row r="28" spans="1:91">
      <c r="A28" s="315"/>
      <c r="B28" s="323"/>
      <c r="C28" s="315"/>
      <c r="D28" s="315"/>
      <c r="Y28" s="3" t="s">
        <v>0</v>
      </c>
      <c r="Z28" s="2">
        <f>(Z20+Z21+Z22-Z23+Z24)*100/Z19</f>
        <v>100</v>
      </c>
      <c r="AW28" s="10" t="s">
        <v>0</v>
      </c>
      <c r="AX28" s="2">
        <f>(AX20+AX21+AX22-AX23+AX24)*100/AX19</f>
        <v>100</v>
      </c>
      <c r="AY28" s="91"/>
      <c r="AZ28" s="92"/>
      <c r="BP28" s="165" t="s">
        <v>0</v>
      </c>
      <c r="BQ28" s="2">
        <f>(BQ20+BQ21+BQ22-BQ23+BQ24)*100/BQ19</f>
        <v>91.666666666666671</v>
      </c>
      <c r="BR28" s="91"/>
      <c r="BS28" s="91"/>
      <c r="CH28" s="165" t="s">
        <v>0</v>
      </c>
      <c r="CI28" s="2">
        <f>(CI20+CI21+CI22-CI23+CI24)*100/CI19</f>
        <v>100</v>
      </c>
      <c r="CJ28" s="91"/>
    </row>
    <row r="29" spans="1:91">
      <c r="AZ29" s="92"/>
    </row>
    <row r="30" spans="1:91">
      <c r="AZ30" s="143"/>
    </row>
    <row r="31" spans="1:91">
      <c r="AZ31" s="92"/>
    </row>
    <row r="32" spans="1:91">
      <c r="AZ32" s="92"/>
    </row>
    <row r="33" spans="52:52">
      <c r="AZ33" s="92"/>
    </row>
    <row r="34" spans="52:52">
      <c r="AZ34" s="92"/>
    </row>
    <row r="35" spans="52:52">
      <c r="AZ35" s="92"/>
    </row>
    <row r="36" spans="52:52">
      <c r="AZ36" s="92"/>
    </row>
    <row r="37" spans="52:52">
      <c r="AZ37" s="92"/>
    </row>
    <row r="38" spans="52:52">
      <c r="AZ38" s="92"/>
    </row>
    <row r="39" spans="52:52">
      <c r="AZ39" s="92"/>
    </row>
    <row r="40" spans="52:52">
      <c r="AZ40" s="92"/>
    </row>
    <row r="41" spans="52:52">
      <c r="AZ41" s="92"/>
    </row>
  </sheetData>
  <mergeCells count="5">
    <mergeCell ref="B1:K1"/>
    <mergeCell ref="BT1:CM1"/>
    <mergeCell ref="AB1:AY1"/>
    <mergeCell ref="L1:AA1"/>
    <mergeCell ref="D23:D25"/>
  </mergeCells>
  <printOptions gridLines="1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M54"/>
  <sheetViews>
    <sheetView workbookViewId="0">
      <selection activeCell="M22" sqref="M22"/>
    </sheetView>
  </sheetViews>
  <sheetFormatPr defaultColWidth="8.42578125" defaultRowHeight="12.75"/>
  <cols>
    <col min="1" max="1" width="11" style="1" customWidth="1"/>
    <col min="2" max="2" width="18.5703125" style="1" customWidth="1"/>
    <col min="3" max="4" width="10.140625" style="1" customWidth="1"/>
    <col min="5" max="9" width="8.28515625" style="1" customWidth="1"/>
    <col min="10" max="10" width="10.85546875" style="1" customWidth="1"/>
    <col min="11" max="11" width="8.28515625" style="1" customWidth="1"/>
    <col min="12" max="12" width="18.85546875" style="1" customWidth="1"/>
    <col min="13" max="24" width="5.7109375" style="1" customWidth="1"/>
    <col min="25" max="25" width="10.7109375" style="1" customWidth="1"/>
    <col min="26" max="26" width="7.140625" style="1" customWidth="1"/>
    <col min="27" max="27" width="5.85546875" style="1" customWidth="1"/>
    <col min="28" max="28" width="18.7109375" style="1" customWidth="1"/>
    <col min="29" max="46" width="5.7109375" style="1" customWidth="1"/>
    <col min="47" max="47" width="6.140625" style="1" customWidth="1"/>
    <col min="48" max="48" width="6.85546875" style="1" customWidth="1"/>
    <col min="49" max="49" width="9" style="1" customWidth="1"/>
    <col min="50" max="50" width="6.7109375" style="1" customWidth="1"/>
    <col min="51" max="51" width="5.7109375" style="1" customWidth="1"/>
    <col min="52" max="52" width="18.5703125" style="1" customWidth="1"/>
    <col min="53" max="67" width="5.7109375" style="1" customWidth="1"/>
    <col min="68" max="68" width="9.42578125" style="1" customWidth="1"/>
    <col min="69" max="69" width="7.42578125" style="1" customWidth="1"/>
    <col min="70" max="83" width="5.7109375" style="1" customWidth="1"/>
    <col min="84" max="84" width="6.7109375" style="1" customWidth="1"/>
    <col min="85" max="85" width="7" style="1" customWidth="1"/>
    <col min="86" max="86" width="6.7109375" style="1" customWidth="1"/>
    <col min="87" max="87" width="6.42578125" style="1" customWidth="1"/>
    <col min="88" max="88" width="7" style="1" customWidth="1"/>
    <col min="89" max="90" width="7.7109375" style="1" customWidth="1"/>
    <col min="91" max="91" width="18.7109375" style="1" customWidth="1"/>
    <col min="92" max="258" width="8.42578125" style="1"/>
    <col min="259" max="259" width="11" style="1" customWidth="1"/>
    <col min="260" max="260" width="18.5703125" style="1" customWidth="1"/>
    <col min="261" max="262" width="10.140625" style="1" customWidth="1"/>
    <col min="263" max="267" width="8.28515625" style="1" customWidth="1"/>
    <col min="268" max="268" width="10.85546875" style="1" customWidth="1"/>
    <col min="269" max="269" width="8.28515625" style="1" customWidth="1"/>
    <col min="270" max="270" width="18.85546875" style="1" customWidth="1"/>
    <col min="271" max="282" width="5.7109375" style="1" customWidth="1"/>
    <col min="283" max="283" width="10.7109375" style="1" customWidth="1"/>
    <col min="284" max="284" width="7.140625" style="1" customWidth="1"/>
    <col min="285" max="285" width="5.85546875" style="1" customWidth="1"/>
    <col min="286" max="286" width="18.7109375" style="1" customWidth="1"/>
    <col min="287" max="304" width="5.7109375" style="1" customWidth="1"/>
    <col min="305" max="305" width="6.140625" style="1" customWidth="1"/>
    <col min="306" max="306" width="6.85546875" style="1" customWidth="1"/>
    <col min="307" max="307" width="9" style="1" customWidth="1"/>
    <col min="308" max="308" width="6.7109375" style="1" customWidth="1"/>
    <col min="309" max="309" width="5.7109375" style="1" customWidth="1"/>
    <col min="310" max="310" width="18.5703125" style="1" customWidth="1"/>
    <col min="311" max="325" width="5.7109375" style="1" customWidth="1"/>
    <col min="326" max="326" width="9.42578125" style="1" customWidth="1"/>
    <col min="327" max="327" width="7.42578125" style="1" customWidth="1"/>
    <col min="328" max="340" width="5.7109375" style="1" customWidth="1"/>
    <col min="341" max="341" width="6.7109375" style="1" customWidth="1"/>
    <col min="342" max="342" width="7" style="1" customWidth="1"/>
    <col min="343" max="343" width="6.7109375" style="1" customWidth="1"/>
    <col min="344" max="344" width="6.42578125" style="1" customWidth="1"/>
    <col min="345" max="345" width="7" style="1" customWidth="1"/>
    <col min="346" max="346" width="7.7109375" style="1" customWidth="1"/>
    <col min="347" max="347" width="18.7109375" style="1" customWidth="1"/>
    <col min="348" max="514" width="8.42578125" style="1"/>
    <col min="515" max="515" width="11" style="1" customWidth="1"/>
    <col min="516" max="516" width="18.5703125" style="1" customWidth="1"/>
    <col min="517" max="518" width="10.140625" style="1" customWidth="1"/>
    <col min="519" max="523" width="8.28515625" style="1" customWidth="1"/>
    <col min="524" max="524" width="10.85546875" style="1" customWidth="1"/>
    <col min="525" max="525" width="8.28515625" style="1" customWidth="1"/>
    <col min="526" max="526" width="18.85546875" style="1" customWidth="1"/>
    <col min="527" max="538" width="5.7109375" style="1" customWidth="1"/>
    <col min="539" max="539" width="10.7109375" style="1" customWidth="1"/>
    <col min="540" max="540" width="7.140625" style="1" customWidth="1"/>
    <col min="541" max="541" width="5.85546875" style="1" customWidth="1"/>
    <col min="542" max="542" width="18.7109375" style="1" customWidth="1"/>
    <col min="543" max="560" width="5.7109375" style="1" customWidth="1"/>
    <col min="561" max="561" width="6.140625" style="1" customWidth="1"/>
    <col min="562" max="562" width="6.85546875" style="1" customWidth="1"/>
    <col min="563" max="563" width="9" style="1" customWidth="1"/>
    <col min="564" max="564" width="6.7109375" style="1" customWidth="1"/>
    <col min="565" max="565" width="5.7109375" style="1" customWidth="1"/>
    <col min="566" max="566" width="18.5703125" style="1" customWidth="1"/>
    <col min="567" max="581" width="5.7109375" style="1" customWidth="1"/>
    <col min="582" max="582" width="9.42578125" style="1" customWidth="1"/>
    <col min="583" max="583" width="7.42578125" style="1" customWidth="1"/>
    <col min="584" max="596" width="5.7109375" style="1" customWidth="1"/>
    <col min="597" max="597" width="6.7109375" style="1" customWidth="1"/>
    <col min="598" max="598" width="7" style="1" customWidth="1"/>
    <col min="599" max="599" width="6.7109375" style="1" customWidth="1"/>
    <col min="600" max="600" width="6.42578125" style="1" customWidth="1"/>
    <col min="601" max="601" width="7" style="1" customWidth="1"/>
    <col min="602" max="602" width="7.7109375" style="1" customWidth="1"/>
    <col min="603" max="603" width="18.7109375" style="1" customWidth="1"/>
    <col min="604" max="770" width="8.42578125" style="1"/>
    <col min="771" max="771" width="11" style="1" customWidth="1"/>
    <col min="772" max="772" width="18.5703125" style="1" customWidth="1"/>
    <col min="773" max="774" width="10.140625" style="1" customWidth="1"/>
    <col min="775" max="779" width="8.28515625" style="1" customWidth="1"/>
    <col min="780" max="780" width="10.85546875" style="1" customWidth="1"/>
    <col min="781" max="781" width="8.28515625" style="1" customWidth="1"/>
    <col min="782" max="782" width="18.85546875" style="1" customWidth="1"/>
    <col min="783" max="794" width="5.7109375" style="1" customWidth="1"/>
    <col min="795" max="795" width="10.7109375" style="1" customWidth="1"/>
    <col min="796" max="796" width="7.140625" style="1" customWidth="1"/>
    <col min="797" max="797" width="5.85546875" style="1" customWidth="1"/>
    <col min="798" max="798" width="18.7109375" style="1" customWidth="1"/>
    <col min="799" max="816" width="5.7109375" style="1" customWidth="1"/>
    <col min="817" max="817" width="6.140625" style="1" customWidth="1"/>
    <col min="818" max="818" width="6.85546875" style="1" customWidth="1"/>
    <col min="819" max="819" width="9" style="1" customWidth="1"/>
    <col min="820" max="820" width="6.7109375" style="1" customWidth="1"/>
    <col min="821" max="821" width="5.7109375" style="1" customWidth="1"/>
    <col min="822" max="822" width="18.5703125" style="1" customWidth="1"/>
    <col min="823" max="837" width="5.7109375" style="1" customWidth="1"/>
    <col min="838" max="838" width="9.42578125" style="1" customWidth="1"/>
    <col min="839" max="839" width="7.42578125" style="1" customWidth="1"/>
    <col min="840" max="852" width="5.7109375" style="1" customWidth="1"/>
    <col min="853" max="853" width="6.7109375" style="1" customWidth="1"/>
    <col min="854" max="854" width="7" style="1" customWidth="1"/>
    <col min="855" max="855" width="6.7109375" style="1" customWidth="1"/>
    <col min="856" max="856" width="6.42578125" style="1" customWidth="1"/>
    <col min="857" max="857" width="7" style="1" customWidth="1"/>
    <col min="858" max="858" width="7.7109375" style="1" customWidth="1"/>
    <col min="859" max="859" width="18.7109375" style="1" customWidth="1"/>
    <col min="860" max="1026" width="8.42578125" style="1"/>
    <col min="1027" max="1027" width="11" style="1" customWidth="1"/>
    <col min="1028" max="1028" width="18.5703125" style="1" customWidth="1"/>
    <col min="1029" max="1030" width="10.140625" style="1" customWidth="1"/>
    <col min="1031" max="1035" width="8.28515625" style="1" customWidth="1"/>
    <col min="1036" max="1036" width="10.85546875" style="1" customWidth="1"/>
    <col min="1037" max="1037" width="8.28515625" style="1" customWidth="1"/>
    <col min="1038" max="1038" width="18.85546875" style="1" customWidth="1"/>
    <col min="1039" max="1050" width="5.7109375" style="1" customWidth="1"/>
    <col min="1051" max="1051" width="10.7109375" style="1" customWidth="1"/>
    <col min="1052" max="1052" width="7.140625" style="1" customWidth="1"/>
    <col min="1053" max="1053" width="5.85546875" style="1" customWidth="1"/>
    <col min="1054" max="1054" width="18.7109375" style="1" customWidth="1"/>
    <col min="1055" max="1072" width="5.7109375" style="1" customWidth="1"/>
    <col min="1073" max="1073" width="6.140625" style="1" customWidth="1"/>
    <col min="1074" max="1074" width="6.85546875" style="1" customWidth="1"/>
    <col min="1075" max="1075" width="9" style="1" customWidth="1"/>
    <col min="1076" max="1076" width="6.7109375" style="1" customWidth="1"/>
    <col min="1077" max="1077" width="5.7109375" style="1" customWidth="1"/>
    <col min="1078" max="1078" width="18.5703125" style="1" customWidth="1"/>
    <col min="1079" max="1093" width="5.7109375" style="1" customWidth="1"/>
    <col min="1094" max="1094" width="9.42578125" style="1" customWidth="1"/>
    <col min="1095" max="1095" width="7.42578125" style="1" customWidth="1"/>
    <col min="1096" max="1108" width="5.7109375" style="1" customWidth="1"/>
    <col min="1109" max="1109" width="6.7109375" style="1" customWidth="1"/>
    <col min="1110" max="1110" width="7" style="1" customWidth="1"/>
    <col min="1111" max="1111" width="6.7109375" style="1" customWidth="1"/>
    <col min="1112" max="1112" width="6.42578125" style="1" customWidth="1"/>
    <col min="1113" max="1113" width="7" style="1" customWidth="1"/>
    <col min="1114" max="1114" width="7.7109375" style="1" customWidth="1"/>
    <col min="1115" max="1115" width="18.7109375" style="1" customWidth="1"/>
    <col min="1116" max="1282" width="8.42578125" style="1"/>
    <col min="1283" max="1283" width="11" style="1" customWidth="1"/>
    <col min="1284" max="1284" width="18.5703125" style="1" customWidth="1"/>
    <col min="1285" max="1286" width="10.140625" style="1" customWidth="1"/>
    <col min="1287" max="1291" width="8.28515625" style="1" customWidth="1"/>
    <col min="1292" max="1292" width="10.85546875" style="1" customWidth="1"/>
    <col min="1293" max="1293" width="8.28515625" style="1" customWidth="1"/>
    <col min="1294" max="1294" width="18.85546875" style="1" customWidth="1"/>
    <col min="1295" max="1306" width="5.7109375" style="1" customWidth="1"/>
    <col min="1307" max="1307" width="10.7109375" style="1" customWidth="1"/>
    <col min="1308" max="1308" width="7.140625" style="1" customWidth="1"/>
    <col min="1309" max="1309" width="5.85546875" style="1" customWidth="1"/>
    <col min="1310" max="1310" width="18.7109375" style="1" customWidth="1"/>
    <col min="1311" max="1328" width="5.7109375" style="1" customWidth="1"/>
    <col min="1329" max="1329" width="6.140625" style="1" customWidth="1"/>
    <col min="1330" max="1330" width="6.85546875" style="1" customWidth="1"/>
    <col min="1331" max="1331" width="9" style="1" customWidth="1"/>
    <col min="1332" max="1332" width="6.7109375" style="1" customWidth="1"/>
    <col min="1333" max="1333" width="5.7109375" style="1" customWidth="1"/>
    <col min="1334" max="1334" width="18.5703125" style="1" customWidth="1"/>
    <col min="1335" max="1349" width="5.7109375" style="1" customWidth="1"/>
    <col min="1350" max="1350" width="9.42578125" style="1" customWidth="1"/>
    <col min="1351" max="1351" width="7.42578125" style="1" customWidth="1"/>
    <col min="1352" max="1364" width="5.7109375" style="1" customWidth="1"/>
    <col min="1365" max="1365" width="6.7109375" style="1" customWidth="1"/>
    <col min="1366" max="1366" width="7" style="1" customWidth="1"/>
    <col min="1367" max="1367" width="6.7109375" style="1" customWidth="1"/>
    <col min="1368" max="1368" width="6.42578125" style="1" customWidth="1"/>
    <col min="1369" max="1369" width="7" style="1" customWidth="1"/>
    <col min="1370" max="1370" width="7.7109375" style="1" customWidth="1"/>
    <col min="1371" max="1371" width="18.7109375" style="1" customWidth="1"/>
    <col min="1372" max="1538" width="8.42578125" style="1"/>
    <col min="1539" max="1539" width="11" style="1" customWidth="1"/>
    <col min="1540" max="1540" width="18.5703125" style="1" customWidth="1"/>
    <col min="1541" max="1542" width="10.140625" style="1" customWidth="1"/>
    <col min="1543" max="1547" width="8.28515625" style="1" customWidth="1"/>
    <col min="1548" max="1548" width="10.85546875" style="1" customWidth="1"/>
    <col min="1549" max="1549" width="8.28515625" style="1" customWidth="1"/>
    <col min="1550" max="1550" width="18.85546875" style="1" customWidth="1"/>
    <col min="1551" max="1562" width="5.7109375" style="1" customWidth="1"/>
    <col min="1563" max="1563" width="10.7109375" style="1" customWidth="1"/>
    <col min="1564" max="1564" width="7.140625" style="1" customWidth="1"/>
    <col min="1565" max="1565" width="5.85546875" style="1" customWidth="1"/>
    <col min="1566" max="1566" width="18.7109375" style="1" customWidth="1"/>
    <col min="1567" max="1584" width="5.7109375" style="1" customWidth="1"/>
    <col min="1585" max="1585" width="6.140625" style="1" customWidth="1"/>
    <col min="1586" max="1586" width="6.85546875" style="1" customWidth="1"/>
    <col min="1587" max="1587" width="9" style="1" customWidth="1"/>
    <col min="1588" max="1588" width="6.7109375" style="1" customWidth="1"/>
    <col min="1589" max="1589" width="5.7109375" style="1" customWidth="1"/>
    <col min="1590" max="1590" width="18.5703125" style="1" customWidth="1"/>
    <col min="1591" max="1605" width="5.7109375" style="1" customWidth="1"/>
    <col min="1606" max="1606" width="9.42578125" style="1" customWidth="1"/>
    <col min="1607" max="1607" width="7.42578125" style="1" customWidth="1"/>
    <col min="1608" max="1620" width="5.7109375" style="1" customWidth="1"/>
    <col min="1621" max="1621" width="6.7109375" style="1" customWidth="1"/>
    <col min="1622" max="1622" width="7" style="1" customWidth="1"/>
    <col min="1623" max="1623" width="6.7109375" style="1" customWidth="1"/>
    <col min="1624" max="1624" width="6.42578125" style="1" customWidth="1"/>
    <col min="1625" max="1625" width="7" style="1" customWidth="1"/>
    <col min="1626" max="1626" width="7.7109375" style="1" customWidth="1"/>
    <col min="1627" max="1627" width="18.7109375" style="1" customWidth="1"/>
    <col min="1628" max="1794" width="8.42578125" style="1"/>
    <col min="1795" max="1795" width="11" style="1" customWidth="1"/>
    <col min="1796" max="1796" width="18.5703125" style="1" customWidth="1"/>
    <col min="1797" max="1798" width="10.140625" style="1" customWidth="1"/>
    <col min="1799" max="1803" width="8.28515625" style="1" customWidth="1"/>
    <col min="1804" max="1804" width="10.85546875" style="1" customWidth="1"/>
    <col min="1805" max="1805" width="8.28515625" style="1" customWidth="1"/>
    <col min="1806" max="1806" width="18.85546875" style="1" customWidth="1"/>
    <col min="1807" max="1818" width="5.7109375" style="1" customWidth="1"/>
    <col min="1819" max="1819" width="10.7109375" style="1" customWidth="1"/>
    <col min="1820" max="1820" width="7.140625" style="1" customWidth="1"/>
    <col min="1821" max="1821" width="5.85546875" style="1" customWidth="1"/>
    <col min="1822" max="1822" width="18.7109375" style="1" customWidth="1"/>
    <col min="1823" max="1840" width="5.7109375" style="1" customWidth="1"/>
    <col min="1841" max="1841" width="6.140625" style="1" customWidth="1"/>
    <col min="1842" max="1842" width="6.85546875" style="1" customWidth="1"/>
    <col min="1843" max="1843" width="9" style="1" customWidth="1"/>
    <col min="1844" max="1844" width="6.7109375" style="1" customWidth="1"/>
    <col min="1845" max="1845" width="5.7109375" style="1" customWidth="1"/>
    <col min="1846" max="1846" width="18.5703125" style="1" customWidth="1"/>
    <col min="1847" max="1861" width="5.7109375" style="1" customWidth="1"/>
    <col min="1862" max="1862" width="9.42578125" style="1" customWidth="1"/>
    <col min="1863" max="1863" width="7.42578125" style="1" customWidth="1"/>
    <col min="1864" max="1876" width="5.7109375" style="1" customWidth="1"/>
    <col min="1877" max="1877" width="6.7109375" style="1" customWidth="1"/>
    <col min="1878" max="1878" width="7" style="1" customWidth="1"/>
    <col min="1879" max="1879" width="6.7109375" style="1" customWidth="1"/>
    <col min="1880" max="1880" width="6.42578125" style="1" customWidth="1"/>
    <col min="1881" max="1881" width="7" style="1" customWidth="1"/>
    <col min="1882" max="1882" width="7.7109375" style="1" customWidth="1"/>
    <col min="1883" max="1883" width="18.7109375" style="1" customWidth="1"/>
    <col min="1884" max="2050" width="8.42578125" style="1"/>
    <col min="2051" max="2051" width="11" style="1" customWidth="1"/>
    <col min="2052" max="2052" width="18.5703125" style="1" customWidth="1"/>
    <col min="2053" max="2054" width="10.140625" style="1" customWidth="1"/>
    <col min="2055" max="2059" width="8.28515625" style="1" customWidth="1"/>
    <col min="2060" max="2060" width="10.85546875" style="1" customWidth="1"/>
    <col min="2061" max="2061" width="8.28515625" style="1" customWidth="1"/>
    <col min="2062" max="2062" width="18.85546875" style="1" customWidth="1"/>
    <col min="2063" max="2074" width="5.7109375" style="1" customWidth="1"/>
    <col min="2075" max="2075" width="10.7109375" style="1" customWidth="1"/>
    <col min="2076" max="2076" width="7.140625" style="1" customWidth="1"/>
    <col min="2077" max="2077" width="5.85546875" style="1" customWidth="1"/>
    <col min="2078" max="2078" width="18.7109375" style="1" customWidth="1"/>
    <col min="2079" max="2096" width="5.7109375" style="1" customWidth="1"/>
    <col min="2097" max="2097" width="6.140625" style="1" customWidth="1"/>
    <col min="2098" max="2098" width="6.85546875" style="1" customWidth="1"/>
    <col min="2099" max="2099" width="9" style="1" customWidth="1"/>
    <col min="2100" max="2100" width="6.7109375" style="1" customWidth="1"/>
    <col min="2101" max="2101" width="5.7109375" style="1" customWidth="1"/>
    <col min="2102" max="2102" width="18.5703125" style="1" customWidth="1"/>
    <col min="2103" max="2117" width="5.7109375" style="1" customWidth="1"/>
    <col min="2118" max="2118" width="9.42578125" style="1" customWidth="1"/>
    <col min="2119" max="2119" width="7.42578125" style="1" customWidth="1"/>
    <col min="2120" max="2132" width="5.7109375" style="1" customWidth="1"/>
    <col min="2133" max="2133" width="6.7109375" style="1" customWidth="1"/>
    <col min="2134" max="2134" width="7" style="1" customWidth="1"/>
    <col min="2135" max="2135" width="6.7109375" style="1" customWidth="1"/>
    <col min="2136" max="2136" width="6.42578125" style="1" customWidth="1"/>
    <col min="2137" max="2137" width="7" style="1" customWidth="1"/>
    <col min="2138" max="2138" width="7.7109375" style="1" customWidth="1"/>
    <col min="2139" max="2139" width="18.7109375" style="1" customWidth="1"/>
    <col min="2140" max="2306" width="8.42578125" style="1"/>
    <col min="2307" max="2307" width="11" style="1" customWidth="1"/>
    <col min="2308" max="2308" width="18.5703125" style="1" customWidth="1"/>
    <col min="2309" max="2310" width="10.140625" style="1" customWidth="1"/>
    <col min="2311" max="2315" width="8.28515625" style="1" customWidth="1"/>
    <col min="2316" max="2316" width="10.85546875" style="1" customWidth="1"/>
    <col min="2317" max="2317" width="8.28515625" style="1" customWidth="1"/>
    <col min="2318" max="2318" width="18.85546875" style="1" customWidth="1"/>
    <col min="2319" max="2330" width="5.7109375" style="1" customWidth="1"/>
    <col min="2331" max="2331" width="10.7109375" style="1" customWidth="1"/>
    <col min="2332" max="2332" width="7.140625" style="1" customWidth="1"/>
    <col min="2333" max="2333" width="5.85546875" style="1" customWidth="1"/>
    <col min="2334" max="2334" width="18.7109375" style="1" customWidth="1"/>
    <col min="2335" max="2352" width="5.7109375" style="1" customWidth="1"/>
    <col min="2353" max="2353" width="6.140625" style="1" customWidth="1"/>
    <col min="2354" max="2354" width="6.85546875" style="1" customWidth="1"/>
    <col min="2355" max="2355" width="9" style="1" customWidth="1"/>
    <col min="2356" max="2356" width="6.7109375" style="1" customWidth="1"/>
    <col min="2357" max="2357" width="5.7109375" style="1" customWidth="1"/>
    <col min="2358" max="2358" width="18.5703125" style="1" customWidth="1"/>
    <col min="2359" max="2373" width="5.7109375" style="1" customWidth="1"/>
    <col min="2374" max="2374" width="9.42578125" style="1" customWidth="1"/>
    <col min="2375" max="2375" width="7.42578125" style="1" customWidth="1"/>
    <col min="2376" max="2388" width="5.7109375" style="1" customWidth="1"/>
    <col min="2389" max="2389" width="6.7109375" style="1" customWidth="1"/>
    <col min="2390" max="2390" width="7" style="1" customWidth="1"/>
    <col min="2391" max="2391" width="6.7109375" style="1" customWidth="1"/>
    <col min="2392" max="2392" width="6.42578125" style="1" customWidth="1"/>
    <col min="2393" max="2393" width="7" style="1" customWidth="1"/>
    <col min="2394" max="2394" width="7.7109375" style="1" customWidth="1"/>
    <col min="2395" max="2395" width="18.7109375" style="1" customWidth="1"/>
    <col min="2396" max="2562" width="8.42578125" style="1"/>
    <col min="2563" max="2563" width="11" style="1" customWidth="1"/>
    <col min="2564" max="2564" width="18.5703125" style="1" customWidth="1"/>
    <col min="2565" max="2566" width="10.140625" style="1" customWidth="1"/>
    <col min="2567" max="2571" width="8.28515625" style="1" customWidth="1"/>
    <col min="2572" max="2572" width="10.85546875" style="1" customWidth="1"/>
    <col min="2573" max="2573" width="8.28515625" style="1" customWidth="1"/>
    <col min="2574" max="2574" width="18.85546875" style="1" customWidth="1"/>
    <col min="2575" max="2586" width="5.7109375" style="1" customWidth="1"/>
    <col min="2587" max="2587" width="10.7109375" style="1" customWidth="1"/>
    <col min="2588" max="2588" width="7.140625" style="1" customWidth="1"/>
    <col min="2589" max="2589" width="5.85546875" style="1" customWidth="1"/>
    <col min="2590" max="2590" width="18.7109375" style="1" customWidth="1"/>
    <col min="2591" max="2608" width="5.7109375" style="1" customWidth="1"/>
    <col min="2609" max="2609" width="6.140625" style="1" customWidth="1"/>
    <col min="2610" max="2610" width="6.85546875" style="1" customWidth="1"/>
    <col min="2611" max="2611" width="9" style="1" customWidth="1"/>
    <col min="2612" max="2612" width="6.7109375" style="1" customWidth="1"/>
    <col min="2613" max="2613" width="5.7109375" style="1" customWidth="1"/>
    <col min="2614" max="2614" width="18.5703125" style="1" customWidth="1"/>
    <col min="2615" max="2629" width="5.7109375" style="1" customWidth="1"/>
    <col min="2630" max="2630" width="9.42578125" style="1" customWidth="1"/>
    <col min="2631" max="2631" width="7.42578125" style="1" customWidth="1"/>
    <col min="2632" max="2644" width="5.7109375" style="1" customWidth="1"/>
    <col min="2645" max="2645" width="6.7109375" style="1" customWidth="1"/>
    <col min="2646" max="2646" width="7" style="1" customWidth="1"/>
    <col min="2647" max="2647" width="6.7109375" style="1" customWidth="1"/>
    <col min="2648" max="2648" width="6.42578125" style="1" customWidth="1"/>
    <col min="2649" max="2649" width="7" style="1" customWidth="1"/>
    <col min="2650" max="2650" width="7.7109375" style="1" customWidth="1"/>
    <col min="2651" max="2651" width="18.7109375" style="1" customWidth="1"/>
    <col min="2652" max="2818" width="8.42578125" style="1"/>
    <col min="2819" max="2819" width="11" style="1" customWidth="1"/>
    <col min="2820" max="2820" width="18.5703125" style="1" customWidth="1"/>
    <col min="2821" max="2822" width="10.140625" style="1" customWidth="1"/>
    <col min="2823" max="2827" width="8.28515625" style="1" customWidth="1"/>
    <col min="2828" max="2828" width="10.85546875" style="1" customWidth="1"/>
    <col min="2829" max="2829" width="8.28515625" style="1" customWidth="1"/>
    <col min="2830" max="2830" width="18.85546875" style="1" customWidth="1"/>
    <col min="2831" max="2842" width="5.7109375" style="1" customWidth="1"/>
    <col min="2843" max="2843" width="10.7109375" style="1" customWidth="1"/>
    <col min="2844" max="2844" width="7.140625" style="1" customWidth="1"/>
    <col min="2845" max="2845" width="5.85546875" style="1" customWidth="1"/>
    <col min="2846" max="2846" width="18.7109375" style="1" customWidth="1"/>
    <col min="2847" max="2864" width="5.7109375" style="1" customWidth="1"/>
    <col min="2865" max="2865" width="6.140625" style="1" customWidth="1"/>
    <col min="2866" max="2866" width="6.85546875" style="1" customWidth="1"/>
    <col min="2867" max="2867" width="9" style="1" customWidth="1"/>
    <col min="2868" max="2868" width="6.7109375" style="1" customWidth="1"/>
    <col min="2869" max="2869" width="5.7109375" style="1" customWidth="1"/>
    <col min="2870" max="2870" width="18.5703125" style="1" customWidth="1"/>
    <col min="2871" max="2885" width="5.7109375" style="1" customWidth="1"/>
    <col min="2886" max="2886" width="9.42578125" style="1" customWidth="1"/>
    <col min="2887" max="2887" width="7.42578125" style="1" customWidth="1"/>
    <col min="2888" max="2900" width="5.7109375" style="1" customWidth="1"/>
    <col min="2901" max="2901" width="6.7109375" style="1" customWidth="1"/>
    <col min="2902" max="2902" width="7" style="1" customWidth="1"/>
    <col min="2903" max="2903" width="6.7109375" style="1" customWidth="1"/>
    <col min="2904" max="2904" width="6.42578125" style="1" customWidth="1"/>
    <col min="2905" max="2905" width="7" style="1" customWidth="1"/>
    <col min="2906" max="2906" width="7.7109375" style="1" customWidth="1"/>
    <col min="2907" max="2907" width="18.7109375" style="1" customWidth="1"/>
    <col min="2908" max="3074" width="8.42578125" style="1"/>
    <col min="3075" max="3075" width="11" style="1" customWidth="1"/>
    <col min="3076" max="3076" width="18.5703125" style="1" customWidth="1"/>
    <col min="3077" max="3078" width="10.140625" style="1" customWidth="1"/>
    <col min="3079" max="3083" width="8.28515625" style="1" customWidth="1"/>
    <col min="3084" max="3084" width="10.85546875" style="1" customWidth="1"/>
    <col min="3085" max="3085" width="8.28515625" style="1" customWidth="1"/>
    <col min="3086" max="3086" width="18.85546875" style="1" customWidth="1"/>
    <col min="3087" max="3098" width="5.7109375" style="1" customWidth="1"/>
    <col min="3099" max="3099" width="10.7109375" style="1" customWidth="1"/>
    <col min="3100" max="3100" width="7.140625" style="1" customWidth="1"/>
    <col min="3101" max="3101" width="5.85546875" style="1" customWidth="1"/>
    <col min="3102" max="3102" width="18.7109375" style="1" customWidth="1"/>
    <col min="3103" max="3120" width="5.7109375" style="1" customWidth="1"/>
    <col min="3121" max="3121" width="6.140625" style="1" customWidth="1"/>
    <col min="3122" max="3122" width="6.85546875" style="1" customWidth="1"/>
    <col min="3123" max="3123" width="9" style="1" customWidth="1"/>
    <col min="3124" max="3124" width="6.7109375" style="1" customWidth="1"/>
    <col min="3125" max="3125" width="5.7109375" style="1" customWidth="1"/>
    <col min="3126" max="3126" width="18.5703125" style="1" customWidth="1"/>
    <col min="3127" max="3141" width="5.7109375" style="1" customWidth="1"/>
    <col min="3142" max="3142" width="9.42578125" style="1" customWidth="1"/>
    <col min="3143" max="3143" width="7.42578125" style="1" customWidth="1"/>
    <col min="3144" max="3156" width="5.7109375" style="1" customWidth="1"/>
    <col min="3157" max="3157" width="6.7109375" style="1" customWidth="1"/>
    <col min="3158" max="3158" width="7" style="1" customWidth="1"/>
    <col min="3159" max="3159" width="6.7109375" style="1" customWidth="1"/>
    <col min="3160" max="3160" width="6.42578125" style="1" customWidth="1"/>
    <col min="3161" max="3161" width="7" style="1" customWidth="1"/>
    <col min="3162" max="3162" width="7.7109375" style="1" customWidth="1"/>
    <col min="3163" max="3163" width="18.7109375" style="1" customWidth="1"/>
    <col min="3164" max="3330" width="8.42578125" style="1"/>
    <col min="3331" max="3331" width="11" style="1" customWidth="1"/>
    <col min="3332" max="3332" width="18.5703125" style="1" customWidth="1"/>
    <col min="3333" max="3334" width="10.140625" style="1" customWidth="1"/>
    <col min="3335" max="3339" width="8.28515625" style="1" customWidth="1"/>
    <col min="3340" max="3340" width="10.85546875" style="1" customWidth="1"/>
    <col min="3341" max="3341" width="8.28515625" style="1" customWidth="1"/>
    <col min="3342" max="3342" width="18.85546875" style="1" customWidth="1"/>
    <col min="3343" max="3354" width="5.7109375" style="1" customWidth="1"/>
    <col min="3355" max="3355" width="10.7109375" style="1" customWidth="1"/>
    <col min="3356" max="3356" width="7.140625" style="1" customWidth="1"/>
    <col min="3357" max="3357" width="5.85546875" style="1" customWidth="1"/>
    <col min="3358" max="3358" width="18.7109375" style="1" customWidth="1"/>
    <col min="3359" max="3376" width="5.7109375" style="1" customWidth="1"/>
    <col min="3377" max="3377" width="6.140625" style="1" customWidth="1"/>
    <col min="3378" max="3378" width="6.85546875" style="1" customWidth="1"/>
    <col min="3379" max="3379" width="9" style="1" customWidth="1"/>
    <col min="3380" max="3380" width="6.7109375" style="1" customWidth="1"/>
    <col min="3381" max="3381" width="5.7109375" style="1" customWidth="1"/>
    <col min="3382" max="3382" width="18.5703125" style="1" customWidth="1"/>
    <col min="3383" max="3397" width="5.7109375" style="1" customWidth="1"/>
    <col min="3398" max="3398" width="9.42578125" style="1" customWidth="1"/>
    <col min="3399" max="3399" width="7.42578125" style="1" customWidth="1"/>
    <col min="3400" max="3412" width="5.7109375" style="1" customWidth="1"/>
    <col min="3413" max="3413" width="6.7109375" style="1" customWidth="1"/>
    <col min="3414" max="3414" width="7" style="1" customWidth="1"/>
    <col min="3415" max="3415" width="6.7109375" style="1" customWidth="1"/>
    <col min="3416" max="3416" width="6.42578125" style="1" customWidth="1"/>
    <col min="3417" max="3417" width="7" style="1" customWidth="1"/>
    <col min="3418" max="3418" width="7.7109375" style="1" customWidth="1"/>
    <col min="3419" max="3419" width="18.7109375" style="1" customWidth="1"/>
    <col min="3420" max="3586" width="8.42578125" style="1"/>
    <col min="3587" max="3587" width="11" style="1" customWidth="1"/>
    <col min="3588" max="3588" width="18.5703125" style="1" customWidth="1"/>
    <col min="3589" max="3590" width="10.140625" style="1" customWidth="1"/>
    <col min="3591" max="3595" width="8.28515625" style="1" customWidth="1"/>
    <col min="3596" max="3596" width="10.85546875" style="1" customWidth="1"/>
    <col min="3597" max="3597" width="8.28515625" style="1" customWidth="1"/>
    <col min="3598" max="3598" width="18.85546875" style="1" customWidth="1"/>
    <col min="3599" max="3610" width="5.7109375" style="1" customWidth="1"/>
    <col min="3611" max="3611" width="10.7109375" style="1" customWidth="1"/>
    <col min="3612" max="3612" width="7.140625" style="1" customWidth="1"/>
    <col min="3613" max="3613" width="5.85546875" style="1" customWidth="1"/>
    <col min="3614" max="3614" width="18.7109375" style="1" customWidth="1"/>
    <col min="3615" max="3632" width="5.7109375" style="1" customWidth="1"/>
    <col min="3633" max="3633" width="6.140625" style="1" customWidth="1"/>
    <col min="3634" max="3634" width="6.85546875" style="1" customWidth="1"/>
    <col min="3635" max="3635" width="9" style="1" customWidth="1"/>
    <col min="3636" max="3636" width="6.7109375" style="1" customWidth="1"/>
    <col min="3637" max="3637" width="5.7109375" style="1" customWidth="1"/>
    <col min="3638" max="3638" width="18.5703125" style="1" customWidth="1"/>
    <col min="3639" max="3653" width="5.7109375" style="1" customWidth="1"/>
    <col min="3654" max="3654" width="9.42578125" style="1" customWidth="1"/>
    <col min="3655" max="3655" width="7.42578125" style="1" customWidth="1"/>
    <col min="3656" max="3668" width="5.7109375" style="1" customWidth="1"/>
    <col min="3669" max="3669" width="6.7109375" style="1" customWidth="1"/>
    <col min="3670" max="3670" width="7" style="1" customWidth="1"/>
    <col min="3671" max="3671" width="6.7109375" style="1" customWidth="1"/>
    <col min="3672" max="3672" width="6.42578125" style="1" customWidth="1"/>
    <col min="3673" max="3673" width="7" style="1" customWidth="1"/>
    <col min="3674" max="3674" width="7.7109375" style="1" customWidth="1"/>
    <col min="3675" max="3675" width="18.7109375" style="1" customWidth="1"/>
    <col min="3676" max="3842" width="8.42578125" style="1"/>
    <col min="3843" max="3843" width="11" style="1" customWidth="1"/>
    <col min="3844" max="3844" width="18.5703125" style="1" customWidth="1"/>
    <col min="3845" max="3846" width="10.140625" style="1" customWidth="1"/>
    <col min="3847" max="3851" width="8.28515625" style="1" customWidth="1"/>
    <col min="3852" max="3852" width="10.85546875" style="1" customWidth="1"/>
    <col min="3853" max="3853" width="8.28515625" style="1" customWidth="1"/>
    <col min="3854" max="3854" width="18.85546875" style="1" customWidth="1"/>
    <col min="3855" max="3866" width="5.7109375" style="1" customWidth="1"/>
    <col min="3867" max="3867" width="10.7109375" style="1" customWidth="1"/>
    <col min="3868" max="3868" width="7.140625" style="1" customWidth="1"/>
    <col min="3869" max="3869" width="5.85546875" style="1" customWidth="1"/>
    <col min="3870" max="3870" width="18.7109375" style="1" customWidth="1"/>
    <col min="3871" max="3888" width="5.7109375" style="1" customWidth="1"/>
    <col min="3889" max="3889" width="6.140625" style="1" customWidth="1"/>
    <col min="3890" max="3890" width="6.85546875" style="1" customWidth="1"/>
    <col min="3891" max="3891" width="9" style="1" customWidth="1"/>
    <col min="3892" max="3892" width="6.7109375" style="1" customWidth="1"/>
    <col min="3893" max="3893" width="5.7109375" style="1" customWidth="1"/>
    <col min="3894" max="3894" width="18.5703125" style="1" customWidth="1"/>
    <col min="3895" max="3909" width="5.7109375" style="1" customWidth="1"/>
    <col min="3910" max="3910" width="9.42578125" style="1" customWidth="1"/>
    <col min="3911" max="3911" width="7.42578125" style="1" customWidth="1"/>
    <col min="3912" max="3924" width="5.7109375" style="1" customWidth="1"/>
    <col min="3925" max="3925" width="6.7109375" style="1" customWidth="1"/>
    <col min="3926" max="3926" width="7" style="1" customWidth="1"/>
    <col min="3927" max="3927" width="6.7109375" style="1" customWidth="1"/>
    <col min="3928" max="3928" width="6.42578125" style="1" customWidth="1"/>
    <col min="3929" max="3929" width="7" style="1" customWidth="1"/>
    <col min="3930" max="3930" width="7.7109375" style="1" customWidth="1"/>
    <col min="3931" max="3931" width="18.7109375" style="1" customWidth="1"/>
    <col min="3932" max="4098" width="8.42578125" style="1"/>
    <col min="4099" max="4099" width="11" style="1" customWidth="1"/>
    <col min="4100" max="4100" width="18.5703125" style="1" customWidth="1"/>
    <col min="4101" max="4102" width="10.140625" style="1" customWidth="1"/>
    <col min="4103" max="4107" width="8.28515625" style="1" customWidth="1"/>
    <col min="4108" max="4108" width="10.85546875" style="1" customWidth="1"/>
    <col min="4109" max="4109" width="8.28515625" style="1" customWidth="1"/>
    <col min="4110" max="4110" width="18.85546875" style="1" customWidth="1"/>
    <col min="4111" max="4122" width="5.7109375" style="1" customWidth="1"/>
    <col min="4123" max="4123" width="10.7109375" style="1" customWidth="1"/>
    <col min="4124" max="4124" width="7.140625" style="1" customWidth="1"/>
    <col min="4125" max="4125" width="5.85546875" style="1" customWidth="1"/>
    <col min="4126" max="4126" width="18.7109375" style="1" customWidth="1"/>
    <col min="4127" max="4144" width="5.7109375" style="1" customWidth="1"/>
    <col min="4145" max="4145" width="6.140625" style="1" customWidth="1"/>
    <col min="4146" max="4146" width="6.85546875" style="1" customWidth="1"/>
    <col min="4147" max="4147" width="9" style="1" customWidth="1"/>
    <col min="4148" max="4148" width="6.7109375" style="1" customWidth="1"/>
    <col min="4149" max="4149" width="5.7109375" style="1" customWidth="1"/>
    <col min="4150" max="4150" width="18.5703125" style="1" customWidth="1"/>
    <col min="4151" max="4165" width="5.7109375" style="1" customWidth="1"/>
    <col min="4166" max="4166" width="9.42578125" style="1" customWidth="1"/>
    <col min="4167" max="4167" width="7.42578125" style="1" customWidth="1"/>
    <col min="4168" max="4180" width="5.7109375" style="1" customWidth="1"/>
    <col min="4181" max="4181" width="6.7109375" style="1" customWidth="1"/>
    <col min="4182" max="4182" width="7" style="1" customWidth="1"/>
    <col min="4183" max="4183" width="6.7109375" style="1" customWidth="1"/>
    <col min="4184" max="4184" width="6.42578125" style="1" customWidth="1"/>
    <col min="4185" max="4185" width="7" style="1" customWidth="1"/>
    <col min="4186" max="4186" width="7.7109375" style="1" customWidth="1"/>
    <col min="4187" max="4187" width="18.7109375" style="1" customWidth="1"/>
    <col min="4188" max="4354" width="8.42578125" style="1"/>
    <col min="4355" max="4355" width="11" style="1" customWidth="1"/>
    <col min="4356" max="4356" width="18.5703125" style="1" customWidth="1"/>
    <col min="4357" max="4358" width="10.140625" style="1" customWidth="1"/>
    <col min="4359" max="4363" width="8.28515625" style="1" customWidth="1"/>
    <col min="4364" max="4364" width="10.85546875" style="1" customWidth="1"/>
    <col min="4365" max="4365" width="8.28515625" style="1" customWidth="1"/>
    <col min="4366" max="4366" width="18.85546875" style="1" customWidth="1"/>
    <col min="4367" max="4378" width="5.7109375" style="1" customWidth="1"/>
    <col min="4379" max="4379" width="10.7109375" style="1" customWidth="1"/>
    <col min="4380" max="4380" width="7.140625" style="1" customWidth="1"/>
    <col min="4381" max="4381" width="5.85546875" style="1" customWidth="1"/>
    <col min="4382" max="4382" width="18.7109375" style="1" customWidth="1"/>
    <col min="4383" max="4400" width="5.7109375" style="1" customWidth="1"/>
    <col min="4401" max="4401" width="6.140625" style="1" customWidth="1"/>
    <col min="4402" max="4402" width="6.85546875" style="1" customWidth="1"/>
    <col min="4403" max="4403" width="9" style="1" customWidth="1"/>
    <col min="4404" max="4404" width="6.7109375" style="1" customWidth="1"/>
    <col min="4405" max="4405" width="5.7109375" style="1" customWidth="1"/>
    <col min="4406" max="4406" width="18.5703125" style="1" customWidth="1"/>
    <col min="4407" max="4421" width="5.7109375" style="1" customWidth="1"/>
    <col min="4422" max="4422" width="9.42578125" style="1" customWidth="1"/>
    <col min="4423" max="4423" width="7.42578125" style="1" customWidth="1"/>
    <col min="4424" max="4436" width="5.7109375" style="1" customWidth="1"/>
    <col min="4437" max="4437" width="6.7109375" style="1" customWidth="1"/>
    <col min="4438" max="4438" width="7" style="1" customWidth="1"/>
    <col min="4439" max="4439" width="6.7109375" style="1" customWidth="1"/>
    <col min="4440" max="4440" width="6.42578125" style="1" customWidth="1"/>
    <col min="4441" max="4441" width="7" style="1" customWidth="1"/>
    <col min="4442" max="4442" width="7.7109375" style="1" customWidth="1"/>
    <col min="4443" max="4443" width="18.7109375" style="1" customWidth="1"/>
    <col min="4444" max="4610" width="8.42578125" style="1"/>
    <col min="4611" max="4611" width="11" style="1" customWidth="1"/>
    <col min="4612" max="4612" width="18.5703125" style="1" customWidth="1"/>
    <col min="4613" max="4614" width="10.140625" style="1" customWidth="1"/>
    <col min="4615" max="4619" width="8.28515625" style="1" customWidth="1"/>
    <col min="4620" max="4620" width="10.85546875" style="1" customWidth="1"/>
    <col min="4621" max="4621" width="8.28515625" style="1" customWidth="1"/>
    <col min="4622" max="4622" width="18.85546875" style="1" customWidth="1"/>
    <col min="4623" max="4634" width="5.7109375" style="1" customWidth="1"/>
    <col min="4635" max="4635" width="10.7109375" style="1" customWidth="1"/>
    <col min="4636" max="4636" width="7.140625" style="1" customWidth="1"/>
    <col min="4637" max="4637" width="5.85546875" style="1" customWidth="1"/>
    <col min="4638" max="4638" width="18.7109375" style="1" customWidth="1"/>
    <col min="4639" max="4656" width="5.7109375" style="1" customWidth="1"/>
    <col min="4657" max="4657" width="6.140625" style="1" customWidth="1"/>
    <col min="4658" max="4658" width="6.85546875" style="1" customWidth="1"/>
    <col min="4659" max="4659" width="9" style="1" customWidth="1"/>
    <col min="4660" max="4660" width="6.7109375" style="1" customWidth="1"/>
    <col min="4661" max="4661" width="5.7109375" style="1" customWidth="1"/>
    <col min="4662" max="4662" width="18.5703125" style="1" customWidth="1"/>
    <col min="4663" max="4677" width="5.7109375" style="1" customWidth="1"/>
    <col min="4678" max="4678" width="9.42578125" style="1" customWidth="1"/>
    <col min="4679" max="4679" width="7.42578125" style="1" customWidth="1"/>
    <col min="4680" max="4692" width="5.7109375" style="1" customWidth="1"/>
    <col min="4693" max="4693" width="6.7109375" style="1" customWidth="1"/>
    <col min="4694" max="4694" width="7" style="1" customWidth="1"/>
    <col min="4695" max="4695" width="6.7109375" style="1" customWidth="1"/>
    <col min="4696" max="4696" width="6.42578125" style="1" customWidth="1"/>
    <col min="4697" max="4697" width="7" style="1" customWidth="1"/>
    <col min="4698" max="4698" width="7.7109375" style="1" customWidth="1"/>
    <col min="4699" max="4699" width="18.7109375" style="1" customWidth="1"/>
    <col min="4700" max="4866" width="8.42578125" style="1"/>
    <col min="4867" max="4867" width="11" style="1" customWidth="1"/>
    <col min="4868" max="4868" width="18.5703125" style="1" customWidth="1"/>
    <col min="4869" max="4870" width="10.140625" style="1" customWidth="1"/>
    <col min="4871" max="4875" width="8.28515625" style="1" customWidth="1"/>
    <col min="4876" max="4876" width="10.85546875" style="1" customWidth="1"/>
    <col min="4877" max="4877" width="8.28515625" style="1" customWidth="1"/>
    <col min="4878" max="4878" width="18.85546875" style="1" customWidth="1"/>
    <col min="4879" max="4890" width="5.7109375" style="1" customWidth="1"/>
    <col min="4891" max="4891" width="10.7109375" style="1" customWidth="1"/>
    <col min="4892" max="4892" width="7.140625" style="1" customWidth="1"/>
    <col min="4893" max="4893" width="5.85546875" style="1" customWidth="1"/>
    <col min="4894" max="4894" width="18.7109375" style="1" customWidth="1"/>
    <col min="4895" max="4912" width="5.7109375" style="1" customWidth="1"/>
    <col min="4913" max="4913" width="6.140625" style="1" customWidth="1"/>
    <col min="4914" max="4914" width="6.85546875" style="1" customWidth="1"/>
    <col min="4915" max="4915" width="9" style="1" customWidth="1"/>
    <col min="4916" max="4916" width="6.7109375" style="1" customWidth="1"/>
    <col min="4917" max="4917" width="5.7109375" style="1" customWidth="1"/>
    <col min="4918" max="4918" width="18.5703125" style="1" customWidth="1"/>
    <col min="4919" max="4933" width="5.7109375" style="1" customWidth="1"/>
    <col min="4934" max="4934" width="9.42578125" style="1" customWidth="1"/>
    <col min="4935" max="4935" width="7.42578125" style="1" customWidth="1"/>
    <col min="4936" max="4948" width="5.7109375" style="1" customWidth="1"/>
    <col min="4949" max="4949" width="6.7109375" style="1" customWidth="1"/>
    <col min="4950" max="4950" width="7" style="1" customWidth="1"/>
    <col min="4951" max="4951" width="6.7109375" style="1" customWidth="1"/>
    <col min="4952" max="4952" width="6.42578125" style="1" customWidth="1"/>
    <col min="4953" max="4953" width="7" style="1" customWidth="1"/>
    <col min="4954" max="4954" width="7.7109375" style="1" customWidth="1"/>
    <col min="4955" max="4955" width="18.7109375" style="1" customWidth="1"/>
    <col min="4956" max="5122" width="8.42578125" style="1"/>
    <col min="5123" max="5123" width="11" style="1" customWidth="1"/>
    <col min="5124" max="5124" width="18.5703125" style="1" customWidth="1"/>
    <col min="5125" max="5126" width="10.140625" style="1" customWidth="1"/>
    <col min="5127" max="5131" width="8.28515625" style="1" customWidth="1"/>
    <col min="5132" max="5132" width="10.85546875" style="1" customWidth="1"/>
    <col min="5133" max="5133" width="8.28515625" style="1" customWidth="1"/>
    <col min="5134" max="5134" width="18.85546875" style="1" customWidth="1"/>
    <col min="5135" max="5146" width="5.7109375" style="1" customWidth="1"/>
    <col min="5147" max="5147" width="10.7109375" style="1" customWidth="1"/>
    <col min="5148" max="5148" width="7.140625" style="1" customWidth="1"/>
    <col min="5149" max="5149" width="5.85546875" style="1" customWidth="1"/>
    <col min="5150" max="5150" width="18.7109375" style="1" customWidth="1"/>
    <col min="5151" max="5168" width="5.7109375" style="1" customWidth="1"/>
    <col min="5169" max="5169" width="6.140625" style="1" customWidth="1"/>
    <col min="5170" max="5170" width="6.85546875" style="1" customWidth="1"/>
    <col min="5171" max="5171" width="9" style="1" customWidth="1"/>
    <col min="5172" max="5172" width="6.7109375" style="1" customWidth="1"/>
    <col min="5173" max="5173" width="5.7109375" style="1" customWidth="1"/>
    <col min="5174" max="5174" width="18.5703125" style="1" customWidth="1"/>
    <col min="5175" max="5189" width="5.7109375" style="1" customWidth="1"/>
    <col min="5190" max="5190" width="9.42578125" style="1" customWidth="1"/>
    <col min="5191" max="5191" width="7.42578125" style="1" customWidth="1"/>
    <col min="5192" max="5204" width="5.7109375" style="1" customWidth="1"/>
    <col min="5205" max="5205" width="6.7109375" style="1" customWidth="1"/>
    <col min="5206" max="5206" width="7" style="1" customWidth="1"/>
    <col min="5207" max="5207" width="6.7109375" style="1" customWidth="1"/>
    <col min="5208" max="5208" width="6.42578125" style="1" customWidth="1"/>
    <col min="5209" max="5209" width="7" style="1" customWidth="1"/>
    <col min="5210" max="5210" width="7.7109375" style="1" customWidth="1"/>
    <col min="5211" max="5211" width="18.7109375" style="1" customWidth="1"/>
    <col min="5212" max="5378" width="8.42578125" style="1"/>
    <col min="5379" max="5379" width="11" style="1" customWidth="1"/>
    <col min="5380" max="5380" width="18.5703125" style="1" customWidth="1"/>
    <col min="5381" max="5382" width="10.140625" style="1" customWidth="1"/>
    <col min="5383" max="5387" width="8.28515625" style="1" customWidth="1"/>
    <col min="5388" max="5388" width="10.85546875" style="1" customWidth="1"/>
    <col min="5389" max="5389" width="8.28515625" style="1" customWidth="1"/>
    <col min="5390" max="5390" width="18.85546875" style="1" customWidth="1"/>
    <col min="5391" max="5402" width="5.7109375" style="1" customWidth="1"/>
    <col min="5403" max="5403" width="10.7109375" style="1" customWidth="1"/>
    <col min="5404" max="5404" width="7.140625" style="1" customWidth="1"/>
    <col min="5405" max="5405" width="5.85546875" style="1" customWidth="1"/>
    <col min="5406" max="5406" width="18.7109375" style="1" customWidth="1"/>
    <col min="5407" max="5424" width="5.7109375" style="1" customWidth="1"/>
    <col min="5425" max="5425" width="6.140625" style="1" customWidth="1"/>
    <col min="5426" max="5426" width="6.85546875" style="1" customWidth="1"/>
    <col min="5427" max="5427" width="9" style="1" customWidth="1"/>
    <col min="5428" max="5428" width="6.7109375" style="1" customWidth="1"/>
    <col min="5429" max="5429" width="5.7109375" style="1" customWidth="1"/>
    <col min="5430" max="5430" width="18.5703125" style="1" customWidth="1"/>
    <col min="5431" max="5445" width="5.7109375" style="1" customWidth="1"/>
    <col min="5446" max="5446" width="9.42578125" style="1" customWidth="1"/>
    <col min="5447" max="5447" width="7.42578125" style="1" customWidth="1"/>
    <col min="5448" max="5460" width="5.7109375" style="1" customWidth="1"/>
    <col min="5461" max="5461" width="6.7109375" style="1" customWidth="1"/>
    <col min="5462" max="5462" width="7" style="1" customWidth="1"/>
    <col min="5463" max="5463" width="6.7109375" style="1" customWidth="1"/>
    <col min="5464" max="5464" width="6.42578125" style="1" customWidth="1"/>
    <col min="5465" max="5465" width="7" style="1" customWidth="1"/>
    <col min="5466" max="5466" width="7.7109375" style="1" customWidth="1"/>
    <col min="5467" max="5467" width="18.7109375" style="1" customWidth="1"/>
    <col min="5468" max="5634" width="8.42578125" style="1"/>
    <col min="5635" max="5635" width="11" style="1" customWidth="1"/>
    <col min="5636" max="5636" width="18.5703125" style="1" customWidth="1"/>
    <col min="5637" max="5638" width="10.140625" style="1" customWidth="1"/>
    <col min="5639" max="5643" width="8.28515625" style="1" customWidth="1"/>
    <col min="5644" max="5644" width="10.85546875" style="1" customWidth="1"/>
    <col min="5645" max="5645" width="8.28515625" style="1" customWidth="1"/>
    <col min="5646" max="5646" width="18.85546875" style="1" customWidth="1"/>
    <col min="5647" max="5658" width="5.7109375" style="1" customWidth="1"/>
    <col min="5659" max="5659" width="10.7109375" style="1" customWidth="1"/>
    <col min="5660" max="5660" width="7.140625" style="1" customWidth="1"/>
    <col min="5661" max="5661" width="5.85546875" style="1" customWidth="1"/>
    <col min="5662" max="5662" width="18.7109375" style="1" customWidth="1"/>
    <col min="5663" max="5680" width="5.7109375" style="1" customWidth="1"/>
    <col min="5681" max="5681" width="6.140625" style="1" customWidth="1"/>
    <col min="5682" max="5682" width="6.85546875" style="1" customWidth="1"/>
    <col min="5683" max="5683" width="9" style="1" customWidth="1"/>
    <col min="5684" max="5684" width="6.7109375" style="1" customWidth="1"/>
    <col min="5685" max="5685" width="5.7109375" style="1" customWidth="1"/>
    <col min="5686" max="5686" width="18.5703125" style="1" customWidth="1"/>
    <col min="5687" max="5701" width="5.7109375" style="1" customWidth="1"/>
    <col min="5702" max="5702" width="9.42578125" style="1" customWidth="1"/>
    <col min="5703" max="5703" width="7.42578125" style="1" customWidth="1"/>
    <col min="5704" max="5716" width="5.7109375" style="1" customWidth="1"/>
    <col min="5717" max="5717" width="6.7109375" style="1" customWidth="1"/>
    <col min="5718" max="5718" width="7" style="1" customWidth="1"/>
    <col min="5719" max="5719" width="6.7109375" style="1" customWidth="1"/>
    <col min="5720" max="5720" width="6.42578125" style="1" customWidth="1"/>
    <col min="5721" max="5721" width="7" style="1" customWidth="1"/>
    <col min="5722" max="5722" width="7.7109375" style="1" customWidth="1"/>
    <col min="5723" max="5723" width="18.7109375" style="1" customWidth="1"/>
    <col min="5724" max="5890" width="8.42578125" style="1"/>
    <col min="5891" max="5891" width="11" style="1" customWidth="1"/>
    <col min="5892" max="5892" width="18.5703125" style="1" customWidth="1"/>
    <col min="5893" max="5894" width="10.140625" style="1" customWidth="1"/>
    <col min="5895" max="5899" width="8.28515625" style="1" customWidth="1"/>
    <col min="5900" max="5900" width="10.85546875" style="1" customWidth="1"/>
    <col min="5901" max="5901" width="8.28515625" style="1" customWidth="1"/>
    <col min="5902" max="5902" width="18.85546875" style="1" customWidth="1"/>
    <col min="5903" max="5914" width="5.7109375" style="1" customWidth="1"/>
    <col min="5915" max="5915" width="10.7109375" style="1" customWidth="1"/>
    <col min="5916" max="5916" width="7.140625" style="1" customWidth="1"/>
    <col min="5917" max="5917" width="5.85546875" style="1" customWidth="1"/>
    <col min="5918" max="5918" width="18.7109375" style="1" customWidth="1"/>
    <col min="5919" max="5936" width="5.7109375" style="1" customWidth="1"/>
    <col min="5937" max="5937" width="6.140625" style="1" customWidth="1"/>
    <col min="5938" max="5938" width="6.85546875" style="1" customWidth="1"/>
    <col min="5939" max="5939" width="9" style="1" customWidth="1"/>
    <col min="5940" max="5940" width="6.7109375" style="1" customWidth="1"/>
    <col min="5941" max="5941" width="5.7109375" style="1" customWidth="1"/>
    <col min="5942" max="5942" width="18.5703125" style="1" customWidth="1"/>
    <col min="5943" max="5957" width="5.7109375" style="1" customWidth="1"/>
    <col min="5958" max="5958" width="9.42578125" style="1" customWidth="1"/>
    <col min="5959" max="5959" width="7.42578125" style="1" customWidth="1"/>
    <col min="5960" max="5972" width="5.7109375" style="1" customWidth="1"/>
    <col min="5973" max="5973" width="6.7109375" style="1" customWidth="1"/>
    <col min="5974" max="5974" width="7" style="1" customWidth="1"/>
    <col min="5975" max="5975" width="6.7109375" style="1" customWidth="1"/>
    <col min="5976" max="5976" width="6.42578125" style="1" customWidth="1"/>
    <col min="5977" max="5977" width="7" style="1" customWidth="1"/>
    <col min="5978" max="5978" width="7.7109375" style="1" customWidth="1"/>
    <col min="5979" max="5979" width="18.7109375" style="1" customWidth="1"/>
    <col min="5980" max="6146" width="8.42578125" style="1"/>
    <col min="6147" max="6147" width="11" style="1" customWidth="1"/>
    <col min="6148" max="6148" width="18.5703125" style="1" customWidth="1"/>
    <col min="6149" max="6150" width="10.140625" style="1" customWidth="1"/>
    <col min="6151" max="6155" width="8.28515625" style="1" customWidth="1"/>
    <col min="6156" max="6156" width="10.85546875" style="1" customWidth="1"/>
    <col min="6157" max="6157" width="8.28515625" style="1" customWidth="1"/>
    <col min="6158" max="6158" width="18.85546875" style="1" customWidth="1"/>
    <col min="6159" max="6170" width="5.7109375" style="1" customWidth="1"/>
    <col min="6171" max="6171" width="10.7109375" style="1" customWidth="1"/>
    <col min="6172" max="6172" width="7.140625" style="1" customWidth="1"/>
    <col min="6173" max="6173" width="5.85546875" style="1" customWidth="1"/>
    <col min="6174" max="6174" width="18.7109375" style="1" customWidth="1"/>
    <col min="6175" max="6192" width="5.7109375" style="1" customWidth="1"/>
    <col min="6193" max="6193" width="6.140625" style="1" customWidth="1"/>
    <col min="6194" max="6194" width="6.85546875" style="1" customWidth="1"/>
    <col min="6195" max="6195" width="9" style="1" customWidth="1"/>
    <col min="6196" max="6196" width="6.7109375" style="1" customWidth="1"/>
    <col min="6197" max="6197" width="5.7109375" style="1" customWidth="1"/>
    <col min="6198" max="6198" width="18.5703125" style="1" customWidth="1"/>
    <col min="6199" max="6213" width="5.7109375" style="1" customWidth="1"/>
    <col min="6214" max="6214" width="9.42578125" style="1" customWidth="1"/>
    <col min="6215" max="6215" width="7.42578125" style="1" customWidth="1"/>
    <col min="6216" max="6228" width="5.7109375" style="1" customWidth="1"/>
    <col min="6229" max="6229" width="6.7109375" style="1" customWidth="1"/>
    <col min="6230" max="6230" width="7" style="1" customWidth="1"/>
    <col min="6231" max="6231" width="6.7109375" style="1" customWidth="1"/>
    <col min="6232" max="6232" width="6.42578125" style="1" customWidth="1"/>
    <col min="6233" max="6233" width="7" style="1" customWidth="1"/>
    <col min="6234" max="6234" width="7.7109375" style="1" customWidth="1"/>
    <col min="6235" max="6235" width="18.7109375" style="1" customWidth="1"/>
    <col min="6236" max="6402" width="8.42578125" style="1"/>
    <col min="6403" max="6403" width="11" style="1" customWidth="1"/>
    <col min="6404" max="6404" width="18.5703125" style="1" customWidth="1"/>
    <col min="6405" max="6406" width="10.140625" style="1" customWidth="1"/>
    <col min="6407" max="6411" width="8.28515625" style="1" customWidth="1"/>
    <col min="6412" max="6412" width="10.85546875" style="1" customWidth="1"/>
    <col min="6413" max="6413" width="8.28515625" style="1" customWidth="1"/>
    <col min="6414" max="6414" width="18.85546875" style="1" customWidth="1"/>
    <col min="6415" max="6426" width="5.7109375" style="1" customWidth="1"/>
    <col min="6427" max="6427" width="10.7109375" style="1" customWidth="1"/>
    <col min="6428" max="6428" width="7.140625" style="1" customWidth="1"/>
    <col min="6429" max="6429" width="5.85546875" style="1" customWidth="1"/>
    <col min="6430" max="6430" width="18.7109375" style="1" customWidth="1"/>
    <col min="6431" max="6448" width="5.7109375" style="1" customWidth="1"/>
    <col min="6449" max="6449" width="6.140625" style="1" customWidth="1"/>
    <col min="6450" max="6450" width="6.85546875" style="1" customWidth="1"/>
    <col min="6451" max="6451" width="9" style="1" customWidth="1"/>
    <col min="6452" max="6452" width="6.7109375" style="1" customWidth="1"/>
    <col min="6453" max="6453" width="5.7109375" style="1" customWidth="1"/>
    <col min="6454" max="6454" width="18.5703125" style="1" customWidth="1"/>
    <col min="6455" max="6469" width="5.7109375" style="1" customWidth="1"/>
    <col min="6470" max="6470" width="9.42578125" style="1" customWidth="1"/>
    <col min="6471" max="6471" width="7.42578125" style="1" customWidth="1"/>
    <col min="6472" max="6484" width="5.7109375" style="1" customWidth="1"/>
    <col min="6485" max="6485" width="6.7109375" style="1" customWidth="1"/>
    <col min="6486" max="6486" width="7" style="1" customWidth="1"/>
    <col min="6487" max="6487" width="6.7109375" style="1" customWidth="1"/>
    <col min="6488" max="6488" width="6.42578125" style="1" customWidth="1"/>
    <col min="6489" max="6489" width="7" style="1" customWidth="1"/>
    <col min="6490" max="6490" width="7.7109375" style="1" customWidth="1"/>
    <col min="6491" max="6491" width="18.7109375" style="1" customWidth="1"/>
    <col min="6492" max="6658" width="8.42578125" style="1"/>
    <col min="6659" max="6659" width="11" style="1" customWidth="1"/>
    <col min="6660" max="6660" width="18.5703125" style="1" customWidth="1"/>
    <col min="6661" max="6662" width="10.140625" style="1" customWidth="1"/>
    <col min="6663" max="6667" width="8.28515625" style="1" customWidth="1"/>
    <col min="6668" max="6668" width="10.85546875" style="1" customWidth="1"/>
    <col min="6669" max="6669" width="8.28515625" style="1" customWidth="1"/>
    <col min="6670" max="6670" width="18.85546875" style="1" customWidth="1"/>
    <col min="6671" max="6682" width="5.7109375" style="1" customWidth="1"/>
    <col min="6683" max="6683" width="10.7109375" style="1" customWidth="1"/>
    <col min="6684" max="6684" width="7.140625" style="1" customWidth="1"/>
    <col min="6685" max="6685" width="5.85546875" style="1" customWidth="1"/>
    <col min="6686" max="6686" width="18.7109375" style="1" customWidth="1"/>
    <col min="6687" max="6704" width="5.7109375" style="1" customWidth="1"/>
    <col min="6705" max="6705" width="6.140625" style="1" customWidth="1"/>
    <col min="6706" max="6706" width="6.85546875" style="1" customWidth="1"/>
    <col min="6707" max="6707" width="9" style="1" customWidth="1"/>
    <col min="6708" max="6708" width="6.7109375" style="1" customWidth="1"/>
    <col min="6709" max="6709" width="5.7109375" style="1" customWidth="1"/>
    <col min="6710" max="6710" width="18.5703125" style="1" customWidth="1"/>
    <col min="6711" max="6725" width="5.7109375" style="1" customWidth="1"/>
    <col min="6726" max="6726" width="9.42578125" style="1" customWidth="1"/>
    <col min="6727" max="6727" width="7.42578125" style="1" customWidth="1"/>
    <col min="6728" max="6740" width="5.7109375" style="1" customWidth="1"/>
    <col min="6741" max="6741" width="6.7109375" style="1" customWidth="1"/>
    <col min="6742" max="6742" width="7" style="1" customWidth="1"/>
    <col min="6743" max="6743" width="6.7109375" style="1" customWidth="1"/>
    <col min="6744" max="6744" width="6.42578125" style="1" customWidth="1"/>
    <col min="6745" max="6745" width="7" style="1" customWidth="1"/>
    <col min="6746" max="6746" width="7.7109375" style="1" customWidth="1"/>
    <col min="6747" max="6747" width="18.7109375" style="1" customWidth="1"/>
    <col min="6748" max="6914" width="8.42578125" style="1"/>
    <col min="6915" max="6915" width="11" style="1" customWidth="1"/>
    <col min="6916" max="6916" width="18.5703125" style="1" customWidth="1"/>
    <col min="6917" max="6918" width="10.140625" style="1" customWidth="1"/>
    <col min="6919" max="6923" width="8.28515625" style="1" customWidth="1"/>
    <col min="6924" max="6924" width="10.85546875" style="1" customWidth="1"/>
    <col min="6925" max="6925" width="8.28515625" style="1" customWidth="1"/>
    <col min="6926" max="6926" width="18.85546875" style="1" customWidth="1"/>
    <col min="6927" max="6938" width="5.7109375" style="1" customWidth="1"/>
    <col min="6939" max="6939" width="10.7109375" style="1" customWidth="1"/>
    <col min="6940" max="6940" width="7.140625" style="1" customWidth="1"/>
    <col min="6941" max="6941" width="5.85546875" style="1" customWidth="1"/>
    <col min="6942" max="6942" width="18.7109375" style="1" customWidth="1"/>
    <col min="6943" max="6960" width="5.7109375" style="1" customWidth="1"/>
    <col min="6961" max="6961" width="6.140625" style="1" customWidth="1"/>
    <col min="6962" max="6962" width="6.85546875" style="1" customWidth="1"/>
    <col min="6963" max="6963" width="9" style="1" customWidth="1"/>
    <col min="6964" max="6964" width="6.7109375" style="1" customWidth="1"/>
    <col min="6965" max="6965" width="5.7109375" style="1" customWidth="1"/>
    <col min="6966" max="6966" width="18.5703125" style="1" customWidth="1"/>
    <col min="6967" max="6981" width="5.7109375" style="1" customWidth="1"/>
    <col min="6982" max="6982" width="9.42578125" style="1" customWidth="1"/>
    <col min="6983" max="6983" width="7.42578125" style="1" customWidth="1"/>
    <col min="6984" max="6996" width="5.7109375" style="1" customWidth="1"/>
    <col min="6997" max="6997" width="6.7109375" style="1" customWidth="1"/>
    <col min="6998" max="6998" width="7" style="1" customWidth="1"/>
    <col min="6999" max="6999" width="6.7109375" style="1" customWidth="1"/>
    <col min="7000" max="7000" width="6.42578125" style="1" customWidth="1"/>
    <col min="7001" max="7001" width="7" style="1" customWidth="1"/>
    <col min="7002" max="7002" width="7.7109375" style="1" customWidth="1"/>
    <col min="7003" max="7003" width="18.7109375" style="1" customWidth="1"/>
    <col min="7004" max="7170" width="8.42578125" style="1"/>
    <col min="7171" max="7171" width="11" style="1" customWidth="1"/>
    <col min="7172" max="7172" width="18.5703125" style="1" customWidth="1"/>
    <col min="7173" max="7174" width="10.140625" style="1" customWidth="1"/>
    <col min="7175" max="7179" width="8.28515625" style="1" customWidth="1"/>
    <col min="7180" max="7180" width="10.85546875" style="1" customWidth="1"/>
    <col min="7181" max="7181" width="8.28515625" style="1" customWidth="1"/>
    <col min="7182" max="7182" width="18.85546875" style="1" customWidth="1"/>
    <col min="7183" max="7194" width="5.7109375" style="1" customWidth="1"/>
    <col min="7195" max="7195" width="10.7109375" style="1" customWidth="1"/>
    <col min="7196" max="7196" width="7.140625" style="1" customWidth="1"/>
    <col min="7197" max="7197" width="5.85546875" style="1" customWidth="1"/>
    <col min="7198" max="7198" width="18.7109375" style="1" customWidth="1"/>
    <col min="7199" max="7216" width="5.7109375" style="1" customWidth="1"/>
    <col min="7217" max="7217" width="6.140625" style="1" customWidth="1"/>
    <col min="7218" max="7218" width="6.85546875" style="1" customWidth="1"/>
    <col min="7219" max="7219" width="9" style="1" customWidth="1"/>
    <col min="7220" max="7220" width="6.7109375" style="1" customWidth="1"/>
    <col min="7221" max="7221" width="5.7109375" style="1" customWidth="1"/>
    <col min="7222" max="7222" width="18.5703125" style="1" customWidth="1"/>
    <col min="7223" max="7237" width="5.7109375" style="1" customWidth="1"/>
    <col min="7238" max="7238" width="9.42578125" style="1" customWidth="1"/>
    <col min="7239" max="7239" width="7.42578125" style="1" customWidth="1"/>
    <col min="7240" max="7252" width="5.7109375" style="1" customWidth="1"/>
    <col min="7253" max="7253" width="6.7109375" style="1" customWidth="1"/>
    <col min="7254" max="7254" width="7" style="1" customWidth="1"/>
    <col min="7255" max="7255" width="6.7109375" style="1" customWidth="1"/>
    <col min="7256" max="7256" width="6.42578125" style="1" customWidth="1"/>
    <col min="7257" max="7257" width="7" style="1" customWidth="1"/>
    <col min="7258" max="7258" width="7.7109375" style="1" customWidth="1"/>
    <col min="7259" max="7259" width="18.7109375" style="1" customWidth="1"/>
    <col min="7260" max="7426" width="8.42578125" style="1"/>
    <col min="7427" max="7427" width="11" style="1" customWidth="1"/>
    <col min="7428" max="7428" width="18.5703125" style="1" customWidth="1"/>
    <col min="7429" max="7430" width="10.140625" style="1" customWidth="1"/>
    <col min="7431" max="7435" width="8.28515625" style="1" customWidth="1"/>
    <col min="7436" max="7436" width="10.85546875" style="1" customWidth="1"/>
    <col min="7437" max="7437" width="8.28515625" style="1" customWidth="1"/>
    <col min="7438" max="7438" width="18.85546875" style="1" customWidth="1"/>
    <col min="7439" max="7450" width="5.7109375" style="1" customWidth="1"/>
    <col min="7451" max="7451" width="10.7109375" style="1" customWidth="1"/>
    <col min="7452" max="7452" width="7.140625" style="1" customWidth="1"/>
    <col min="7453" max="7453" width="5.85546875" style="1" customWidth="1"/>
    <col min="7454" max="7454" width="18.7109375" style="1" customWidth="1"/>
    <col min="7455" max="7472" width="5.7109375" style="1" customWidth="1"/>
    <col min="7473" max="7473" width="6.140625" style="1" customWidth="1"/>
    <col min="7474" max="7474" width="6.85546875" style="1" customWidth="1"/>
    <col min="7475" max="7475" width="9" style="1" customWidth="1"/>
    <col min="7476" max="7476" width="6.7109375" style="1" customWidth="1"/>
    <col min="7477" max="7477" width="5.7109375" style="1" customWidth="1"/>
    <col min="7478" max="7478" width="18.5703125" style="1" customWidth="1"/>
    <col min="7479" max="7493" width="5.7109375" style="1" customWidth="1"/>
    <col min="7494" max="7494" width="9.42578125" style="1" customWidth="1"/>
    <col min="7495" max="7495" width="7.42578125" style="1" customWidth="1"/>
    <col min="7496" max="7508" width="5.7109375" style="1" customWidth="1"/>
    <col min="7509" max="7509" width="6.7109375" style="1" customWidth="1"/>
    <col min="7510" max="7510" width="7" style="1" customWidth="1"/>
    <col min="7511" max="7511" width="6.7109375" style="1" customWidth="1"/>
    <col min="7512" max="7512" width="6.42578125" style="1" customWidth="1"/>
    <col min="7513" max="7513" width="7" style="1" customWidth="1"/>
    <col min="7514" max="7514" width="7.7109375" style="1" customWidth="1"/>
    <col min="7515" max="7515" width="18.7109375" style="1" customWidth="1"/>
    <col min="7516" max="7682" width="8.42578125" style="1"/>
    <col min="7683" max="7683" width="11" style="1" customWidth="1"/>
    <col min="7684" max="7684" width="18.5703125" style="1" customWidth="1"/>
    <col min="7685" max="7686" width="10.140625" style="1" customWidth="1"/>
    <col min="7687" max="7691" width="8.28515625" style="1" customWidth="1"/>
    <col min="7692" max="7692" width="10.85546875" style="1" customWidth="1"/>
    <col min="7693" max="7693" width="8.28515625" style="1" customWidth="1"/>
    <col min="7694" max="7694" width="18.85546875" style="1" customWidth="1"/>
    <col min="7695" max="7706" width="5.7109375" style="1" customWidth="1"/>
    <col min="7707" max="7707" width="10.7109375" style="1" customWidth="1"/>
    <col min="7708" max="7708" width="7.140625" style="1" customWidth="1"/>
    <col min="7709" max="7709" width="5.85546875" style="1" customWidth="1"/>
    <col min="7710" max="7710" width="18.7109375" style="1" customWidth="1"/>
    <col min="7711" max="7728" width="5.7109375" style="1" customWidth="1"/>
    <col min="7729" max="7729" width="6.140625" style="1" customWidth="1"/>
    <col min="7730" max="7730" width="6.85546875" style="1" customWidth="1"/>
    <col min="7731" max="7731" width="9" style="1" customWidth="1"/>
    <col min="7732" max="7732" width="6.7109375" style="1" customWidth="1"/>
    <col min="7733" max="7733" width="5.7109375" style="1" customWidth="1"/>
    <col min="7734" max="7734" width="18.5703125" style="1" customWidth="1"/>
    <col min="7735" max="7749" width="5.7109375" style="1" customWidth="1"/>
    <col min="7750" max="7750" width="9.42578125" style="1" customWidth="1"/>
    <col min="7751" max="7751" width="7.42578125" style="1" customWidth="1"/>
    <col min="7752" max="7764" width="5.7109375" style="1" customWidth="1"/>
    <col min="7765" max="7765" width="6.7109375" style="1" customWidth="1"/>
    <col min="7766" max="7766" width="7" style="1" customWidth="1"/>
    <col min="7767" max="7767" width="6.7109375" style="1" customWidth="1"/>
    <col min="7768" max="7768" width="6.42578125" style="1" customWidth="1"/>
    <col min="7769" max="7769" width="7" style="1" customWidth="1"/>
    <col min="7770" max="7770" width="7.7109375" style="1" customWidth="1"/>
    <col min="7771" max="7771" width="18.7109375" style="1" customWidth="1"/>
    <col min="7772" max="7938" width="8.42578125" style="1"/>
    <col min="7939" max="7939" width="11" style="1" customWidth="1"/>
    <col min="7940" max="7940" width="18.5703125" style="1" customWidth="1"/>
    <col min="7941" max="7942" width="10.140625" style="1" customWidth="1"/>
    <col min="7943" max="7947" width="8.28515625" style="1" customWidth="1"/>
    <col min="7948" max="7948" width="10.85546875" style="1" customWidth="1"/>
    <col min="7949" max="7949" width="8.28515625" style="1" customWidth="1"/>
    <col min="7950" max="7950" width="18.85546875" style="1" customWidth="1"/>
    <col min="7951" max="7962" width="5.7109375" style="1" customWidth="1"/>
    <col min="7963" max="7963" width="10.7109375" style="1" customWidth="1"/>
    <col min="7964" max="7964" width="7.140625" style="1" customWidth="1"/>
    <col min="7965" max="7965" width="5.85546875" style="1" customWidth="1"/>
    <col min="7966" max="7966" width="18.7109375" style="1" customWidth="1"/>
    <col min="7967" max="7984" width="5.7109375" style="1" customWidth="1"/>
    <col min="7985" max="7985" width="6.140625" style="1" customWidth="1"/>
    <col min="7986" max="7986" width="6.85546875" style="1" customWidth="1"/>
    <col min="7987" max="7987" width="9" style="1" customWidth="1"/>
    <col min="7988" max="7988" width="6.7109375" style="1" customWidth="1"/>
    <col min="7989" max="7989" width="5.7109375" style="1" customWidth="1"/>
    <col min="7990" max="7990" width="18.5703125" style="1" customWidth="1"/>
    <col min="7991" max="8005" width="5.7109375" style="1" customWidth="1"/>
    <col min="8006" max="8006" width="9.42578125" style="1" customWidth="1"/>
    <col min="8007" max="8007" width="7.42578125" style="1" customWidth="1"/>
    <col min="8008" max="8020" width="5.7109375" style="1" customWidth="1"/>
    <col min="8021" max="8021" width="6.7109375" style="1" customWidth="1"/>
    <col min="8022" max="8022" width="7" style="1" customWidth="1"/>
    <col min="8023" max="8023" width="6.7109375" style="1" customWidth="1"/>
    <col min="8024" max="8024" width="6.42578125" style="1" customWidth="1"/>
    <col min="8025" max="8025" width="7" style="1" customWidth="1"/>
    <col min="8026" max="8026" width="7.7109375" style="1" customWidth="1"/>
    <col min="8027" max="8027" width="18.7109375" style="1" customWidth="1"/>
    <col min="8028" max="8194" width="8.42578125" style="1"/>
    <col min="8195" max="8195" width="11" style="1" customWidth="1"/>
    <col min="8196" max="8196" width="18.5703125" style="1" customWidth="1"/>
    <col min="8197" max="8198" width="10.140625" style="1" customWidth="1"/>
    <col min="8199" max="8203" width="8.28515625" style="1" customWidth="1"/>
    <col min="8204" max="8204" width="10.85546875" style="1" customWidth="1"/>
    <col min="8205" max="8205" width="8.28515625" style="1" customWidth="1"/>
    <col min="8206" max="8206" width="18.85546875" style="1" customWidth="1"/>
    <col min="8207" max="8218" width="5.7109375" style="1" customWidth="1"/>
    <col min="8219" max="8219" width="10.7109375" style="1" customWidth="1"/>
    <col min="8220" max="8220" width="7.140625" style="1" customWidth="1"/>
    <col min="8221" max="8221" width="5.85546875" style="1" customWidth="1"/>
    <col min="8222" max="8222" width="18.7109375" style="1" customWidth="1"/>
    <col min="8223" max="8240" width="5.7109375" style="1" customWidth="1"/>
    <col min="8241" max="8241" width="6.140625" style="1" customWidth="1"/>
    <col min="8242" max="8242" width="6.85546875" style="1" customWidth="1"/>
    <col min="8243" max="8243" width="9" style="1" customWidth="1"/>
    <col min="8244" max="8244" width="6.7109375" style="1" customWidth="1"/>
    <col min="8245" max="8245" width="5.7109375" style="1" customWidth="1"/>
    <col min="8246" max="8246" width="18.5703125" style="1" customWidth="1"/>
    <col min="8247" max="8261" width="5.7109375" style="1" customWidth="1"/>
    <col min="8262" max="8262" width="9.42578125" style="1" customWidth="1"/>
    <col min="8263" max="8263" width="7.42578125" style="1" customWidth="1"/>
    <col min="8264" max="8276" width="5.7109375" style="1" customWidth="1"/>
    <col min="8277" max="8277" width="6.7109375" style="1" customWidth="1"/>
    <col min="8278" max="8278" width="7" style="1" customWidth="1"/>
    <col min="8279" max="8279" width="6.7109375" style="1" customWidth="1"/>
    <col min="8280" max="8280" width="6.42578125" style="1" customWidth="1"/>
    <col min="8281" max="8281" width="7" style="1" customWidth="1"/>
    <col min="8282" max="8282" width="7.7109375" style="1" customWidth="1"/>
    <col min="8283" max="8283" width="18.7109375" style="1" customWidth="1"/>
    <col min="8284" max="8450" width="8.42578125" style="1"/>
    <col min="8451" max="8451" width="11" style="1" customWidth="1"/>
    <col min="8452" max="8452" width="18.5703125" style="1" customWidth="1"/>
    <col min="8453" max="8454" width="10.140625" style="1" customWidth="1"/>
    <col min="8455" max="8459" width="8.28515625" style="1" customWidth="1"/>
    <col min="8460" max="8460" width="10.85546875" style="1" customWidth="1"/>
    <col min="8461" max="8461" width="8.28515625" style="1" customWidth="1"/>
    <col min="8462" max="8462" width="18.85546875" style="1" customWidth="1"/>
    <col min="8463" max="8474" width="5.7109375" style="1" customWidth="1"/>
    <col min="8475" max="8475" width="10.7109375" style="1" customWidth="1"/>
    <col min="8476" max="8476" width="7.140625" style="1" customWidth="1"/>
    <col min="8477" max="8477" width="5.85546875" style="1" customWidth="1"/>
    <col min="8478" max="8478" width="18.7109375" style="1" customWidth="1"/>
    <col min="8479" max="8496" width="5.7109375" style="1" customWidth="1"/>
    <col min="8497" max="8497" width="6.140625" style="1" customWidth="1"/>
    <col min="8498" max="8498" width="6.85546875" style="1" customWidth="1"/>
    <col min="8499" max="8499" width="9" style="1" customWidth="1"/>
    <col min="8500" max="8500" width="6.7109375" style="1" customWidth="1"/>
    <col min="8501" max="8501" width="5.7109375" style="1" customWidth="1"/>
    <col min="8502" max="8502" width="18.5703125" style="1" customWidth="1"/>
    <col min="8503" max="8517" width="5.7109375" style="1" customWidth="1"/>
    <col min="8518" max="8518" width="9.42578125" style="1" customWidth="1"/>
    <col min="8519" max="8519" width="7.42578125" style="1" customWidth="1"/>
    <col min="8520" max="8532" width="5.7109375" style="1" customWidth="1"/>
    <col min="8533" max="8533" width="6.7109375" style="1" customWidth="1"/>
    <col min="8534" max="8534" width="7" style="1" customWidth="1"/>
    <col min="8535" max="8535" width="6.7109375" style="1" customWidth="1"/>
    <col min="8536" max="8536" width="6.42578125" style="1" customWidth="1"/>
    <col min="8537" max="8537" width="7" style="1" customWidth="1"/>
    <col min="8538" max="8538" width="7.7109375" style="1" customWidth="1"/>
    <col min="8539" max="8539" width="18.7109375" style="1" customWidth="1"/>
    <col min="8540" max="8706" width="8.42578125" style="1"/>
    <col min="8707" max="8707" width="11" style="1" customWidth="1"/>
    <col min="8708" max="8708" width="18.5703125" style="1" customWidth="1"/>
    <col min="8709" max="8710" width="10.140625" style="1" customWidth="1"/>
    <col min="8711" max="8715" width="8.28515625" style="1" customWidth="1"/>
    <col min="8716" max="8716" width="10.85546875" style="1" customWidth="1"/>
    <col min="8717" max="8717" width="8.28515625" style="1" customWidth="1"/>
    <col min="8718" max="8718" width="18.85546875" style="1" customWidth="1"/>
    <col min="8719" max="8730" width="5.7109375" style="1" customWidth="1"/>
    <col min="8731" max="8731" width="10.7109375" style="1" customWidth="1"/>
    <col min="8732" max="8732" width="7.140625" style="1" customWidth="1"/>
    <col min="8733" max="8733" width="5.85546875" style="1" customWidth="1"/>
    <col min="8734" max="8734" width="18.7109375" style="1" customWidth="1"/>
    <col min="8735" max="8752" width="5.7109375" style="1" customWidth="1"/>
    <col min="8753" max="8753" width="6.140625" style="1" customWidth="1"/>
    <col min="8754" max="8754" width="6.85546875" style="1" customWidth="1"/>
    <col min="8755" max="8755" width="9" style="1" customWidth="1"/>
    <col min="8756" max="8756" width="6.7109375" style="1" customWidth="1"/>
    <col min="8757" max="8757" width="5.7109375" style="1" customWidth="1"/>
    <col min="8758" max="8758" width="18.5703125" style="1" customWidth="1"/>
    <col min="8759" max="8773" width="5.7109375" style="1" customWidth="1"/>
    <col min="8774" max="8774" width="9.42578125" style="1" customWidth="1"/>
    <col min="8775" max="8775" width="7.42578125" style="1" customWidth="1"/>
    <col min="8776" max="8788" width="5.7109375" style="1" customWidth="1"/>
    <col min="8789" max="8789" width="6.7109375" style="1" customWidth="1"/>
    <col min="8790" max="8790" width="7" style="1" customWidth="1"/>
    <col min="8791" max="8791" width="6.7109375" style="1" customWidth="1"/>
    <col min="8792" max="8792" width="6.42578125" style="1" customWidth="1"/>
    <col min="8793" max="8793" width="7" style="1" customWidth="1"/>
    <col min="8794" max="8794" width="7.7109375" style="1" customWidth="1"/>
    <col min="8795" max="8795" width="18.7109375" style="1" customWidth="1"/>
    <col min="8796" max="8962" width="8.42578125" style="1"/>
    <col min="8963" max="8963" width="11" style="1" customWidth="1"/>
    <col min="8964" max="8964" width="18.5703125" style="1" customWidth="1"/>
    <col min="8965" max="8966" width="10.140625" style="1" customWidth="1"/>
    <col min="8967" max="8971" width="8.28515625" style="1" customWidth="1"/>
    <col min="8972" max="8972" width="10.85546875" style="1" customWidth="1"/>
    <col min="8973" max="8973" width="8.28515625" style="1" customWidth="1"/>
    <col min="8974" max="8974" width="18.85546875" style="1" customWidth="1"/>
    <col min="8975" max="8986" width="5.7109375" style="1" customWidth="1"/>
    <col min="8987" max="8987" width="10.7109375" style="1" customWidth="1"/>
    <col min="8988" max="8988" width="7.140625" style="1" customWidth="1"/>
    <col min="8989" max="8989" width="5.85546875" style="1" customWidth="1"/>
    <col min="8990" max="8990" width="18.7109375" style="1" customWidth="1"/>
    <col min="8991" max="9008" width="5.7109375" style="1" customWidth="1"/>
    <col min="9009" max="9009" width="6.140625" style="1" customWidth="1"/>
    <col min="9010" max="9010" width="6.85546875" style="1" customWidth="1"/>
    <col min="9011" max="9011" width="9" style="1" customWidth="1"/>
    <col min="9012" max="9012" width="6.7109375" style="1" customWidth="1"/>
    <col min="9013" max="9013" width="5.7109375" style="1" customWidth="1"/>
    <col min="9014" max="9014" width="18.5703125" style="1" customWidth="1"/>
    <col min="9015" max="9029" width="5.7109375" style="1" customWidth="1"/>
    <col min="9030" max="9030" width="9.42578125" style="1" customWidth="1"/>
    <col min="9031" max="9031" width="7.42578125" style="1" customWidth="1"/>
    <col min="9032" max="9044" width="5.7109375" style="1" customWidth="1"/>
    <col min="9045" max="9045" width="6.7109375" style="1" customWidth="1"/>
    <col min="9046" max="9046" width="7" style="1" customWidth="1"/>
    <col min="9047" max="9047" width="6.7109375" style="1" customWidth="1"/>
    <col min="9048" max="9048" width="6.42578125" style="1" customWidth="1"/>
    <col min="9049" max="9049" width="7" style="1" customWidth="1"/>
    <col min="9050" max="9050" width="7.7109375" style="1" customWidth="1"/>
    <col min="9051" max="9051" width="18.7109375" style="1" customWidth="1"/>
    <col min="9052" max="9218" width="8.42578125" style="1"/>
    <col min="9219" max="9219" width="11" style="1" customWidth="1"/>
    <col min="9220" max="9220" width="18.5703125" style="1" customWidth="1"/>
    <col min="9221" max="9222" width="10.140625" style="1" customWidth="1"/>
    <col min="9223" max="9227" width="8.28515625" style="1" customWidth="1"/>
    <col min="9228" max="9228" width="10.85546875" style="1" customWidth="1"/>
    <col min="9229" max="9229" width="8.28515625" style="1" customWidth="1"/>
    <col min="9230" max="9230" width="18.85546875" style="1" customWidth="1"/>
    <col min="9231" max="9242" width="5.7109375" style="1" customWidth="1"/>
    <col min="9243" max="9243" width="10.7109375" style="1" customWidth="1"/>
    <col min="9244" max="9244" width="7.140625" style="1" customWidth="1"/>
    <col min="9245" max="9245" width="5.85546875" style="1" customWidth="1"/>
    <col min="9246" max="9246" width="18.7109375" style="1" customWidth="1"/>
    <col min="9247" max="9264" width="5.7109375" style="1" customWidth="1"/>
    <col min="9265" max="9265" width="6.140625" style="1" customWidth="1"/>
    <col min="9266" max="9266" width="6.85546875" style="1" customWidth="1"/>
    <col min="9267" max="9267" width="9" style="1" customWidth="1"/>
    <col min="9268" max="9268" width="6.7109375" style="1" customWidth="1"/>
    <col min="9269" max="9269" width="5.7109375" style="1" customWidth="1"/>
    <col min="9270" max="9270" width="18.5703125" style="1" customWidth="1"/>
    <col min="9271" max="9285" width="5.7109375" style="1" customWidth="1"/>
    <col min="9286" max="9286" width="9.42578125" style="1" customWidth="1"/>
    <col min="9287" max="9287" width="7.42578125" style="1" customWidth="1"/>
    <col min="9288" max="9300" width="5.7109375" style="1" customWidth="1"/>
    <col min="9301" max="9301" width="6.7109375" style="1" customWidth="1"/>
    <col min="9302" max="9302" width="7" style="1" customWidth="1"/>
    <col min="9303" max="9303" width="6.7109375" style="1" customWidth="1"/>
    <col min="9304" max="9304" width="6.42578125" style="1" customWidth="1"/>
    <col min="9305" max="9305" width="7" style="1" customWidth="1"/>
    <col min="9306" max="9306" width="7.7109375" style="1" customWidth="1"/>
    <col min="9307" max="9307" width="18.7109375" style="1" customWidth="1"/>
    <col min="9308" max="9474" width="8.42578125" style="1"/>
    <col min="9475" max="9475" width="11" style="1" customWidth="1"/>
    <col min="9476" max="9476" width="18.5703125" style="1" customWidth="1"/>
    <col min="9477" max="9478" width="10.140625" style="1" customWidth="1"/>
    <col min="9479" max="9483" width="8.28515625" style="1" customWidth="1"/>
    <col min="9484" max="9484" width="10.85546875" style="1" customWidth="1"/>
    <col min="9485" max="9485" width="8.28515625" style="1" customWidth="1"/>
    <col min="9486" max="9486" width="18.85546875" style="1" customWidth="1"/>
    <col min="9487" max="9498" width="5.7109375" style="1" customWidth="1"/>
    <col min="9499" max="9499" width="10.7109375" style="1" customWidth="1"/>
    <col min="9500" max="9500" width="7.140625" style="1" customWidth="1"/>
    <col min="9501" max="9501" width="5.85546875" style="1" customWidth="1"/>
    <col min="9502" max="9502" width="18.7109375" style="1" customWidth="1"/>
    <col min="9503" max="9520" width="5.7109375" style="1" customWidth="1"/>
    <col min="9521" max="9521" width="6.140625" style="1" customWidth="1"/>
    <col min="9522" max="9522" width="6.85546875" style="1" customWidth="1"/>
    <col min="9523" max="9523" width="9" style="1" customWidth="1"/>
    <col min="9524" max="9524" width="6.7109375" style="1" customWidth="1"/>
    <col min="9525" max="9525" width="5.7109375" style="1" customWidth="1"/>
    <col min="9526" max="9526" width="18.5703125" style="1" customWidth="1"/>
    <col min="9527" max="9541" width="5.7109375" style="1" customWidth="1"/>
    <col min="9542" max="9542" width="9.42578125" style="1" customWidth="1"/>
    <col min="9543" max="9543" width="7.42578125" style="1" customWidth="1"/>
    <col min="9544" max="9556" width="5.7109375" style="1" customWidth="1"/>
    <col min="9557" max="9557" width="6.7109375" style="1" customWidth="1"/>
    <col min="9558" max="9558" width="7" style="1" customWidth="1"/>
    <col min="9559" max="9559" width="6.7109375" style="1" customWidth="1"/>
    <col min="9560" max="9560" width="6.42578125" style="1" customWidth="1"/>
    <col min="9561" max="9561" width="7" style="1" customWidth="1"/>
    <col min="9562" max="9562" width="7.7109375" style="1" customWidth="1"/>
    <col min="9563" max="9563" width="18.7109375" style="1" customWidth="1"/>
    <col min="9564" max="9730" width="8.42578125" style="1"/>
    <col min="9731" max="9731" width="11" style="1" customWidth="1"/>
    <col min="9732" max="9732" width="18.5703125" style="1" customWidth="1"/>
    <col min="9733" max="9734" width="10.140625" style="1" customWidth="1"/>
    <col min="9735" max="9739" width="8.28515625" style="1" customWidth="1"/>
    <col min="9740" max="9740" width="10.85546875" style="1" customWidth="1"/>
    <col min="9741" max="9741" width="8.28515625" style="1" customWidth="1"/>
    <col min="9742" max="9742" width="18.85546875" style="1" customWidth="1"/>
    <col min="9743" max="9754" width="5.7109375" style="1" customWidth="1"/>
    <col min="9755" max="9755" width="10.7109375" style="1" customWidth="1"/>
    <col min="9756" max="9756" width="7.140625" style="1" customWidth="1"/>
    <col min="9757" max="9757" width="5.85546875" style="1" customWidth="1"/>
    <col min="9758" max="9758" width="18.7109375" style="1" customWidth="1"/>
    <col min="9759" max="9776" width="5.7109375" style="1" customWidth="1"/>
    <col min="9777" max="9777" width="6.140625" style="1" customWidth="1"/>
    <col min="9778" max="9778" width="6.85546875" style="1" customWidth="1"/>
    <col min="9779" max="9779" width="9" style="1" customWidth="1"/>
    <col min="9780" max="9780" width="6.7109375" style="1" customWidth="1"/>
    <col min="9781" max="9781" width="5.7109375" style="1" customWidth="1"/>
    <col min="9782" max="9782" width="18.5703125" style="1" customWidth="1"/>
    <col min="9783" max="9797" width="5.7109375" style="1" customWidth="1"/>
    <col min="9798" max="9798" width="9.42578125" style="1" customWidth="1"/>
    <col min="9799" max="9799" width="7.42578125" style="1" customWidth="1"/>
    <col min="9800" max="9812" width="5.7109375" style="1" customWidth="1"/>
    <col min="9813" max="9813" width="6.7109375" style="1" customWidth="1"/>
    <col min="9814" max="9814" width="7" style="1" customWidth="1"/>
    <col min="9815" max="9815" width="6.7109375" style="1" customWidth="1"/>
    <col min="9816" max="9816" width="6.42578125" style="1" customWidth="1"/>
    <col min="9817" max="9817" width="7" style="1" customWidth="1"/>
    <col min="9818" max="9818" width="7.7109375" style="1" customWidth="1"/>
    <col min="9819" max="9819" width="18.7109375" style="1" customWidth="1"/>
    <col min="9820" max="9986" width="8.42578125" style="1"/>
    <col min="9987" max="9987" width="11" style="1" customWidth="1"/>
    <col min="9988" max="9988" width="18.5703125" style="1" customWidth="1"/>
    <col min="9989" max="9990" width="10.140625" style="1" customWidth="1"/>
    <col min="9991" max="9995" width="8.28515625" style="1" customWidth="1"/>
    <col min="9996" max="9996" width="10.85546875" style="1" customWidth="1"/>
    <col min="9997" max="9997" width="8.28515625" style="1" customWidth="1"/>
    <col min="9998" max="9998" width="18.85546875" style="1" customWidth="1"/>
    <col min="9999" max="10010" width="5.7109375" style="1" customWidth="1"/>
    <col min="10011" max="10011" width="10.7109375" style="1" customWidth="1"/>
    <col min="10012" max="10012" width="7.140625" style="1" customWidth="1"/>
    <col min="10013" max="10013" width="5.85546875" style="1" customWidth="1"/>
    <col min="10014" max="10014" width="18.7109375" style="1" customWidth="1"/>
    <col min="10015" max="10032" width="5.7109375" style="1" customWidth="1"/>
    <col min="10033" max="10033" width="6.140625" style="1" customWidth="1"/>
    <col min="10034" max="10034" width="6.85546875" style="1" customWidth="1"/>
    <col min="10035" max="10035" width="9" style="1" customWidth="1"/>
    <col min="10036" max="10036" width="6.7109375" style="1" customWidth="1"/>
    <col min="10037" max="10037" width="5.7109375" style="1" customWidth="1"/>
    <col min="10038" max="10038" width="18.5703125" style="1" customWidth="1"/>
    <col min="10039" max="10053" width="5.7109375" style="1" customWidth="1"/>
    <col min="10054" max="10054" width="9.42578125" style="1" customWidth="1"/>
    <col min="10055" max="10055" width="7.42578125" style="1" customWidth="1"/>
    <col min="10056" max="10068" width="5.7109375" style="1" customWidth="1"/>
    <col min="10069" max="10069" width="6.7109375" style="1" customWidth="1"/>
    <col min="10070" max="10070" width="7" style="1" customWidth="1"/>
    <col min="10071" max="10071" width="6.7109375" style="1" customWidth="1"/>
    <col min="10072" max="10072" width="6.42578125" style="1" customWidth="1"/>
    <col min="10073" max="10073" width="7" style="1" customWidth="1"/>
    <col min="10074" max="10074" width="7.7109375" style="1" customWidth="1"/>
    <col min="10075" max="10075" width="18.7109375" style="1" customWidth="1"/>
    <col min="10076" max="10242" width="8.42578125" style="1"/>
    <col min="10243" max="10243" width="11" style="1" customWidth="1"/>
    <col min="10244" max="10244" width="18.5703125" style="1" customWidth="1"/>
    <col min="10245" max="10246" width="10.140625" style="1" customWidth="1"/>
    <col min="10247" max="10251" width="8.28515625" style="1" customWidth="1"/>
    <col min="10252" max="10252" width="10.85546875" style="1" customWidth="1"/>
    <col min="10253" max="10253" width="8.28515625" style="1" customWidth="1"/>
    <col min="10254" max="10254" width="18.85546875" style="1" customWidth="1"/>
    <col min="10255" max="10266" width="5.7109375" style="1" customWidth="1"/>
    <col min="10267" max="10267" width="10.7109375" style="1" customWidth="1"/>
    <col min="10268" max="10268" width="7.140625" style="1" customWidth="1"/>
    <col min="10269" max="10269" width="5.85546875" style="1" customWidth="1"/>
    <col min="10270" max="10270" width="18.7109375" style="1" customWidth="1"/>
    <col min="10271" max="10288" width="5.7109375" style="1" customWidth="1"/>
    <col min="10289" max="10289" width="6.140625" style="1" customWidth="1"/>
    <col min="10290" max="10290" width="6.85546875" style="1" customWidth="1"/>
    <col min="10291" max="10291" width="9" style="1" customWidth="1"/>
    <col min="10292" max="10292" width="6.7109375" style="1" customWidth="1"/>
    <col min="10293" max="10293" width="5.7109375" style="1" customWidth="1"/>
    <col min="10294" max="10294" width="18.5703125" style="1" customWidth="1"/>
    <col min="10295" max="10309" width="5.7109375" style="1" customWidth="1"/>
    <col min="10310" max="10310" width="9.42578125" style="1" customWidth="1"/>
    <col min="10311" max="10311" width="7.42578125" style="1" customWidth="1"/>
    <col min="10312" max="10324" width="5.7109375" style="1" customWidth="1"/>
    <col min="10325" max="10325" width="6.7109375" style="1" customWidth="1"/>
    <col min="10326" max="10326" width="7" style="1" customWidth="1"/>
    <col min="10327" max="10327" width="6.7109375" style="1" customWidth="1"/>
    <col min="10328" max="10328" width="6.42578125" style="1" customWidth="1"/>
    <col min="10329" max="10329" width="7" style="1" customWidth="1"/>
    <col min="10330" max="10330" width="7.7109375" style="1" customWidth="1"/>
    <col min="10331" max="10331" width="18.7109375" style="1" customWidth="1"/>
    <col min="10332" max="10498" width="8.42578125" style="1"/>
    <col min="10499" max="10499" width="11" style="1" customWidth="1"/>
    <col min="10500" max="10500" width="18.5703125" style="1" customWidth="1"/>
    <col min="10501" max="10502" width="10.140625" style="1" customWidth="1"/>
    <col min="10503" max="10507" width="8.28515625" style="1" customWidth="1"/>
    <col min="10508" max="10508" width="10.85546875" style="1" customWidth="1"/>
    <col min="10509" max="10509" width="8.28515625" style="1" customWidth="1"/>
    <col min="10510" max="10510" width="18.85546875" style="1" customWidth="1"/>
    <col min="10511" max="10522" width="5.7109375" style="1" customWidth="1"/>
    <col min="10523" max="10523" width="10.7109375" style="1" customWidth="1"/>
    <col min="10524" max="10524" width="7.140625" style="1" customWidth="1"/>
    <col min="10525" max="10525" width="5.85546875" style="1" customWidth="1"/>
    <col min="10526" max="10526" width="18.7109375" style="1" customWidth="1"/>
    <col min="10527" max="10544" width="5.7109375" style="1" customWidth="1"/>
    <col min="10545" max="10545" width="6.140625" style="1" customWidth="1"/>
    <col min="10546" max="10546" width="6.85546875" style="1" customWidth="1"/>
    <col min="10547" max="10547" width="9" style="1" customWidth="1"/>
    <col min="10548" max="10548" width="6.7109375" style="1" customWidth="1"/>
    <col min="10549" max="10549" width="5.7109375" style="1" customWidth="1"/>
    <col min="10550" max="10550" width="18.5703125" style="1" customWidth="1"/>
    <col min="10551" max="10565" width="5.7109375" style="1" customWidth="1"/>
    <col min="10566" max="10566" width="9.42578125" style="1" customWidth="1"/>
    <col min="10567" max="10567" width="7.42578125" style="1" customWidth="1"/>
    <col min="10568" max="10580" width="5.7109375" style="1" customWidth="1"/>
    <col min="10581" max="10581" width="6.7109375" style="1" customWidth="1"/>
    <col min="10582" max="10582" width="7" style="1" customWidth="1"/>
    <col min="10583" max="10583" width="6.7109375" style="1" customWidth="1"/>
    <col min="10584" max="10584" width="6.42578125" style="1" customWidth="1"/>
    <col min="10585" max="10585" width="7" style="1" customWidth="1"/>
    <col min="10586" max="10586" width="7.7109375" style="1" customWidth="1"/>
    <col min="10587" max="10587" width="18.7109375" style="1" customWidth="1"/>
    <col min="10588" max="10754" width="8.42578125" style="1"/>
    <col min="10755" max="10755" width="11" style="1" customWidth="1"/>
    <col min="10756" max="10756" width="18.5703125" style="1" customWidth="1"/>
    <col min="10757" max="10758" width="10.140625" style="1" customWidth="1"/>
    <col min="10759" max="10763" width="8.28515625" style="1" customWidth="1"/>
    <col min="10764" max="10764" width="10.85546875" style="1" customWidth="1"/>
    <col min="10765" max="10765" width="8.28515625" style="1" customWidth="1"/>
    <col min="10766" max="10766" width="18.85546875" style="1" customWidth="1"/>
    <col min="10767" max="10778" width="5.7109375" style="1" customWidth="1"/>
    <col min="10779" max="10779" width="10.7109375" style="1" customWidth="1"/>
    <col min="10780" max="10780" width="7.140625" style="1" customWidth="1"/>
    <col min="10781" max="10781" width="5.85546875" style="1" customWidth="1"/>
    <col min="10782" max="10782" width="18.7109375" style="1" customWidth="1"/>
    <col min="10783" max="10800" width="5.7109375" style="1" customWidth="1"/>
    <col min="10801" max="10801" width="6.140625" style="1" customWidth="1"/>
    <col min="10802" max="10802" width="6.85546875" style="1" customWidth="1"/>
    <col min="10803" max="10803" width="9" style="1" customWidth="1"/>
    <col min="10804" max="10804" width="6.7109375" style="1" customWidth="1"/>
    <col min="10805" max="10805" width="5.7109375" style="1" customWidth="1"/>
    <col min="10806" max="10806" width="18.5703125" style="1" customWidth="1"/>
    <col min="10807" max="10821" width="5.7109375" style="1" customWidth="1"/>
    <col min="10822" max="10822" width="9.42578125" style="1" customWidth="1"/>
    <col min="10823" max="10823" width="7.42578125" style="1" customWidth="1"/>
    <col min="10824" max="10836" width="5.7109375" style="1" customWidth="1"/>
    <col min="10837" max="10837" width="6.7109375" style="1" customWidth="1"/>
    <col min="10838" max="10838" width="7" style="1" customWidth="1"/>
    <col min="10839" max="10839" width="6.7109375" style="1" customWidth="1"/>
    <col min="10840" max="10840" width="6.42578125" style="1" customWidth="1"/>
    <col min="10841" max="10841" width="7" style="1" customWidth="1"/>
    <col min="10842" max="10842" width="7.7109375" style="1" customWidth="1"/>
    <col min="10843" max="10843" width="18.7109375" style="1" customWidth="1"/>
    <col min="10844" max="11010" width="8.42578125" style="1"/>
    <col min="11011" max="11011" width="11" style="1" customWidth="1"/>
    <col min="11012" max="11012" width="18.5703125" style="1" customWidth="1"/>
    <col min="11013" max="11014" width="10.140625" style="1" customWidth="1"/>
    <col min="11015" max="11019" width="8.28515625" style="1" customWidth="1"/>
    <col min="11020" max="11020" width="10.85546875" style="1" customWidth="1"/>
    <col min="11021" max="11021" width="8.28515625" style="1" customWidth="1"/>
    <col min="11022" max="11022" width="18.85546875" style="1" customWidth="1"/>
    <col min="11023" max="11034" width="5.7109375" style="1" customWidth="1"/>
    <col min="11035" max="11035" width="10.7109375" style="1" customWidth="1"/>
    <col min="11036" max="11036" width="7.140625" style="1" customWidth="1"/>
    <col min="11037" max="11037" width="5.85546875" style="1" customWidth="1"/>
    <col min="11038" max="11038" width="18.7109375" style="1" customWidth="1"/>
    <col min="11039" max="11056" width="5.7109375" style="1" customWidth="1"/>
    <col min="11057" max="11057" width="6.140625" style="1" customWidth="1"/>
    <col min="11058" max="11058" width="6.85546875" style="1" customWidth="1"/>
    <col min="11059" max="11059" width="9" style="1" customWidth="1"/>
    <col min="11060" max="11060" width="6.7109375" style="1" customWidth="1"/>
    <col min="11061" max="11061" width="5.7109375" style="1" customWidth="1"/>
    <col min="11062" max="11062" width="18.5703125" style="1" customWidth="1"/>
    <col min="11063" max="11077" width="5.7109375" style="1" customWidth="1"/>
    <col min="11078" max="11078" width="9.42578125" style="1" customWidth="1"/>
    <col min="11079" max="11079" width="7.42578125" style="1" customWidth="1"/>
    <col min="11080" max="11092" width="5.7109375" style="1" customWidth="1"/>
    <col min="11093" max="11093" width="6.7109375" style="1" customWidth="1"/>
    <col min="11094" max="11094" width="7" style="1" customWidth="1"/>
    <col min="11095" max="11095" width="6.7109375" style="1" customWidth="1"/>
    <col min="11096" max="11096" width="6.42578125" style="1" customWidth="1"/>
    <col min="11097" max="11097" width="7" style="1" customWidth="1"/>
    <col min="11098" max="11098" width="7.7109375" style="1" customWidth="1"/>
    <col min="11099" max="11099" width="18.7109375" style="1" customWidth="1"/>
    <col min="11100" max="11266" width="8.42578125" style="1"/>
    <col min="11267" max="11267" width="11" style="1" customWidth="1"/>
    <col min="11268" max="11268" width="18.5703125" style="1" customWidth="1"/>
    <col min="11269" max="11270" width="10.140625" style="1" customWidth="1"/>
    <col min="11271" max="11275" width="8.28515625" style="1" customWidth="1"/>
    <col min="11276" max="11276" width="10.85546875" style="1" customWidth="1"/>
    <col min="11277" max="11277" width="8.28515625" style="1" customWidth="1"/>
    <col min="11278" max="11278" width="18.85546875" style="1" customWidth="1"/>
    <col min="11279" max="11290" width="5.7109375" style="1" customWidth="1"/>
    <col min="11291" max="11291" width="10.7109375" style="1" customWidth="1"/>
    <col min="11292" max="11292" width="7.140625" style="1" customWidth="1"/>
    <col min="11293" max="11293" width="5.85546875" style="1" customWidth="1"/>
    <col min="11294" max="11294" width="18.7109375" style="1" customWidth="1"/>
    <col min="11295" max="11312" width="5.7109375" style="1" customWidth="1"/>
    <col min="11313" max="11313" width="6.140625" style="1" customWidth="1"/>
    <col min="11314" max="11314" width="6.85546875" style="1" customWidth="1"/>
    <col min="11315" max="11315" width="9" style="1" customWidth="1"/>
    <col min="11316" max="11316" width="6.7109375" style="1" customWidth="1"/>
    <col min="11317" max="11317" width="5.7109375" style="1" customWidth="1"/>
    <col min="11318" max="11318" width="18.5703125" style="1" customWidth="1"/>
    <col min="11319" max="11333" width="5.7109375" style="1" customWidth="1"/>
    <col min="11334" max="11334" width="9.42578125" style="1" customWidth="1"/>
    <col min="11335" max="11335" width="7.42578125" style="1" customWidth="1"/>
    <col min="11336" max="11348" width="5.7109375" style="1" customWidth="1"/>
    <col min="11349" max="11349" width="6.7109375" style="1" customWidth="1"/>
    <col min="11350" max="11350" width="7" style="1" customWidth="1"/>
    <col min="11351" max="11351" width="6.7109375" style="1" customWidth="1"/>
    <col min="11352" max="11352" width="6.42578125" style="1" customWidth="1"/>
    <col min="11353" max="11353" width="7" style="1" customWidth="1"/>
    <col min="11354" max="11354" width="7.7109375" style="1" customWidth="1"/>
    <col min="11355" max="11355" width="18.7109375" style="1" customWidth="1"/>
    <col min="11356" max="11522" width="8.42578125" style="1"/>
    <col min="11523" max="11523" width="11" style="1" customWidth="1"/>
    <col min="11524" max="11524" width="18.5703125" style="1" customWidth="1"/>
    <col min="11525" max="11526" width="10.140625" style="1" customWidth="1"/>
    <col min="11527" max="11531" width="8.28515625" style="1" customWidth="1"/>
    <col min="11532" max="11532" width="10.85546875" style="1" customWidth="1"/>
    <col min="11533" max="11533" width="8.28515625" style="1" customWidth="1"/>
    <col min="11534" max="11534" width="18.85546875" style="1" customWidth="1"/>
    <col min="11535" max="11546" width="5.7109375" style="1" customWidth="1"/>
    <col min="11547" max="11547" width="10.7109375" style="1" customWidth="1"/>
    <col min="11548" max="11548" width="7.140625" style="1" customWidth="1"/>
    <col min="11549" max="11549" width="5.85546875" style="1" customWidth="1"/>
    <col min="11550" max="11550" width="18.7109375" style="1" customWidth="1"/>
    <col min="11551" max="11568" width="5.7109375" style="1" customWidth="1"/>
    <col min="11569" max="11569" width="6.140625" style="1" customWidth="1"/>
    <col min="11570" max="11570" width="6.85546875" style="1" customWidth="1"/>
    <col min="11571" max="11571" width="9" style="1" customWidth="1"/>
    <col min="11572" max="11572" width="6.7109375" style="1" customWidth="1"/>
    <col min="11573" max="11573" width="5.7109375" style="1" customWidth="1"/>
    <col min="11574" max="11574" width="18.5703125" style="1" customWidth="1"/>
    <col min="11575" max="11589" width="5.7109375" style="1" customWidth="1"/>
    <col min="11590" max="11590" width="9.42578125" style="1" customWidth="1"/>
    <col min="11591" max="11591" width="7.42578125" style="1" customWidth="1"/>
    <col min="11592" max="11604" width="5.7109375" style="1" customWidth="1"/>
    <col min="11605" max="11605" width="6.7109375" style="1" customWidth="1"/>
    <col min="11606" max="11606" width="7" style="1" customWidth="1"/>
    <col min="11607" max="11607" width="6.7109375" style="1" customWidth="1"/>
    <col min="11608" max="11608" width="6.42578125" style="1" customWidth="1"/>
    <col min="11609" max="11609" width="7" style="1" customWidth="1"/>
    <col min="11610" max="11610" width="7.7109375" style="1" customWidth="1"/>
    <col min="11611" max="11611" width="18.7109375" style="1" customWidth="1"/>
    <col min="11612" max="11778" width="8.42578125" style="1"/>
    <col min="11779" max="11779" width="11" style="1" customWidth="1"/>
    <col min="11780" max="11780" width="18.5703125" style="1" customWidth="1"/>
    <col min="11781" max="11782" width="10.140625" style="1" customWidth="1"/>
    <col min="11783" max="11787" width="8.28515625" style="1" customWidth="1"/>
    <col min="11788" max="11788" width="10.85546875" style="1" customWidth="1"/>
    <col min="11789" max="11789" width="8.28515625" style="1" customWidth="1"/>
    <col min="11790" max="11790" width="18.85546875" style="1" customWidth="1"/>
    <col min="11791" max="11802" width="5.7109375" style="1" customWidth="1"/>
    <col min="11803" max="11803" width="10.7109375" style="1" customWidth="1"/>
    <col min="11804" max="11804" width="7.140625" style="1" customWidth="1"/>
    <col min="11805" max="11805" width="5.85546875" style="1" customWidth="1"/>
    <col min="11806" max="11806" width="18.7109375" style="1" customWidth="1"/>
    <col min="11807" max="11824" width="5.7109375" style="1" customWidth="1"/>
    <col min="11825" max="11825" width="6.140625" style="1" customWidth="1"/>
    <col min="11826" max="11826" width="6.85546875" style="1" customWidth="1"/>
    <col min="11827" max="11827" width="9" style="1" customWidth="1"/>
    <col min="11828" max="11828" width="6.7109375" style="1" customWidth="1"/>
    <col min="11829" max="11829" width="5.7109375" style="1" customWidth="1"/>
    <col min="11830" max="11830" width="18.5703125" style="1" customWidth="1"/>
    <col min="11831" max="11845" width="5.7109375" style="1" customWidth="1"/>
    <col min="11846" max="11846" width="9.42578125" style="1" customWidth="1"/>
    <col min="11847" max="11847" width="7.42578125" style="1" customWidth="1"/>
    <col min="11848" max="11860" width="5.7109375" style="1" customWidth="1"/>
    <col min="11861" max="11861" width="6.7109375" style="1" customWidth="1"/>
    <col min="11862" max="11862" width="7" style="1" customWidth="1"/>
    <col min="11863" max="11863" width="6.7109375" style="1" customWidth="1"/>
    <col min="11864" max="11864" width="6.42578125" style="1" customWidth="1"/>
    <col min="11865" max="11865" width="7" style="1" customWidth="1"/>
    <col min="11866" max="11866" width="7.7109375" style="1" customWidth="1"/>
    <col min="11867" max="11867" width="18.7109375" style="1" customWidth="1"/>
    <col min="11868" max="12034" width="8.42578125" style="1"/>
    <col min="12035" max="12035" width="11" style="1" customWidth="1"/>
    <col min="12036" max="12036" width="18.5703125" style="1" customWidth="1"/>
    <col min="12037" max="12038" width="10.140625" style="1" customWidth="1"/>
    <col min="12039" max="12043" width="8.28515625" style="1" customWidth="1"/>
    <col min="12044" max="12044" width="10.85546875" style="1" customWidth="1"/>
    <col min="12045" max="12045" width="8.28515625" style="1" customWidth="1"/>
    <col min="12046" max="12046" width="18.85546875" style="1" customWidth="1"/>
    <col min="12047" max="12058" width="5.7109375" style="1" customWidth="1"/>
    <col min="12059" max="12059" width="10.7109375" style="1" customWidth="1"/>
    <col min="12060" max="12060" width="7.140625" style="1" customWidth="1"/>
    <col min="12061" max="12061" width="5.85546875" style="1" customWidth="1"/>
    <col min="12062" max="12062" width="18.7109375" style="1" customWidth="1"/>
    <col min="12063" max="12080" width="5.7109375" style="1" customWidth="1"/>
    <col min="12081" max="12081" width="6.140625" style="1" customWidth="1"/>
    <col min="12082" max="12082" width="6.85546875" style="1" customWidth="1"/>
    <col min="12083" max="12083" width="9" style="1" customWidth="1"/>
    <col min="12084" max="12084" width="6.7109375" style="1" customWidth="1"/>
    <col min="12085" max="12085" width="5.7109375" style="1" customWidth="1"/>
    <col min="12086" max="12086" width="18.5703125" style="1" customWidth="1"/>
    <col min="12087" max="12101" width="5.7109375" style="1" customWidth="1"/>
    <col min="12102" max="12102" width="9.42578125" style="1" customWidth="1"/>
    <col min="12103" max="12103" width="7.42578125" style="1" customWidth="1"/>
    <col min="12104" max="12116" width="5.7109375" style="1" customWidth="1"/>
    <col min="12117" max="12117" width="6.7109375" style="1" customWidth="1"/>
    <col min="12118" max="12118" width="7" style="1" customWidth="1"/>
    <col min="12119" max="12119" width="6.7109375" style="1" customWidth="1"/>
    <col min="12120" max="12120" width="6.42578125" style="1" customWidth="1"/>
    <col min="12121" max="12121" width="7" style="1" customWidth="1"/>
    <col min="12122" max="12122" width="7.7109375" style="1" customWidth="1"/>
    <col min="12123" max="12123" width="18.7109375" style="1" customWidth="1"/>
    <col min="12124" max="12290" width="8.42578125" style="1"/>
    <col min="12291" max="12291" width="11" style="1" customWidth="1"/>
    <col min="12292" max="12292" width="18.5703125" style="1" customWidth="1"/>
    <col min="12293" max="12294" width="10.140625" style="1" customWidth="1"/>
    <col min="12295" max="12299" width="8.28515625" style="1" customWidth="1"/>
    <col min="12300" max="12300" width="10.85546875" style="1" customWidth="1"/>
    <col min="12301" max="12301" width="8.28515625" style="1" customWidth="1"/>
    <col min="12302" max="12302" width="18.85546875" style="1" customWidth="1"/>
    <col min="12303" max="12314" width="5.7109375" style="1" customWidth="1"/>
    <col min="12315" max="12315" width="10.7109375" style="1" customWidth="1"/>
    <col min="12316" max="12316" width="7.140625" style="1" customWidth="1"/>
    <col min="12317" max="12317" width="5.85546875" style="1" customWidth="1"/>
    <col min="12318" max="12318" width="18.7109375" style="1" customWidth="1"/>
    <col min="12319" max="12336" width="5.7109375" style="1" customWidth="1"/>
    <col min="12337" max="12337" width="6.140625" style="1" customWidth="1"/>
    <col min="12338" max="12338" width="6.85546875" style="1" customWidth="1"/>
    <col min="12339" max="12339" width="9" style="1" customWidth="1"/>
    <col min="12340" max="12340" width="6.7109375" style="1" customWidth="1"/>
    <col min="12341" max="12341" width="5.7109375" style="1" customWidth="1"/>
    <col min="12342" max="12342" width="18.5703125" style="1" customWidth="1"/>
    <col min="12343" max="12357" width="5.7109375" style="1" customWidth="1"/>
    <col min="12358" max="12358" width="9.42578125" style="1" customWidth="1"/>
    <col min="12359" max="12359" width="7.42578125" style="1" customWidth="1"/>
    <col min="12360" max="12372" width="5.7109375" style="1" customWidth="1"/>
    <col min="12373" max="12373" width="6.7109375" style="1" customWidth="1"/>
    <col min="12374" max="12374" width="7" style="1" customWidth="1"/>
    <col min="12375" max="12375" width="6.7109375" style="1" customWidth="1"/>
    <col min="12376" max="12376" width="6.42578125" style="1" customWidth="1"/>
    <col min="12377" max="12377" width="7" style="1" customWidth="1"/>
    <col min="12378" max="12378" width="7.7109375" style="1" customWidth="1"/>
    <col min="12379" max="12379" width="18.7109375" style="1" customWidth="1"/>
    <col min="12380" max="12546" width="8.42578125" style="1"/>
    <col min="12547" max="12547" width="11" style="1" customWidth="1"/>
    <col min="12548" max="12548" width="18.5703125" style="1" customWidth="1"/>
    <col min="12549" max="12550" width="10.140625" style="1" customWidth="1"/>
    <col min="12551" max="12555" width="8.28515625" style="1" customWidth="1"/>
    <col min="12556" max="12556" width="10.85546875" style="1" customWidth="1"/>
    <col min="12557" max="12557" width="8.28515625" style="1" customWidth="1"/>
    <col min="12558" max="12558" width="18.85546875" style="1" customWidth="1"/>
    <col min="12559" max="12570" width="5.7109375" style="1" customWidth="1"/>
    <col min="12571" max="12571" width="10.7109375" style="1" customWidth="1"/>
    <col min="12572" max="12572" width="7.140625" style="1" customWidth="1"/>
    <col min="12573" max="12573" width="5.85546875" style="1" customWidth="1"/>
    <col min="12574" max="12574" width="18.7109375" style="1" customWidth="1"/>
    <col min="12575" max="12592" width="5.7109375" style="1" customWidth="1"/>
    <col min="12593" max="12593" width="6.140625" style="1" customWidth="1"/>
    <col min="12594" max="12594" width="6.85546875" style="1" customWidth="1"/>
    <col min="12595" max="12595" width="9" style="1" customWidth="1"/>
    <col min="12596" max="12596" width="6.7109375" style="1" customWidth="1"/>
    <col min="12597" max="12597" width="5.7109375" style="1" customWidth="1"/>
    <col min="12598" max="12598" width="18.5703125" style="1" customWidth="1"/>
    <col min="12599" max="12613" width="5.7109375" style="1" customWidth="1"/>
    <col min="12614" max="12614" width="9.42578125" style="1" customWidth="1"/>
    <col min="12615" max="12615" width="7.42578125" style="1" customWidth="1"/>
    <col min="12616" max="12628" width="5.7109375" style="1" customWidth="1"/>
    <col min="12629" max="12629" width="6.7109375" style="1" customWidth="1"/>
    <col min="12630" max="12630" width="7" style="1" customWidth="1"/>
    <col min="12631" max="12631" width="6.7109375" style="1" customWidth="1"/>
    <col min="12632" max="12632" width="6.42578125" style="1" customWidth="1"/>
    <col min="12633" max="12633" width="7" style="1" customWidth="1"/>
    <col min="12634" max="12634" width="7.7109375" style="1" customWidth="1"/>
    <col min="12635" max="12635" width="18.7109375" style="1" customWidth="1"/>
    <col min="12636" max="12802" width="8.42578125" style="1"/>
    <col min="12803" max="12803" width="11" style="1" customWidth="1"/>
    <col min="12804" max="12804" width="18.5703125" style="1" customWidth="1"/>
    <col min="12805" max="12806" width="10.140625" style="1" customWidth="1"/>
    <col min="12807" max="12811" width="8.28515625" style="1" customWidth="1"/>
    <col min="12812" max="12812" width="10.85546875" style="1" customWidth="1"/>
    <col min="12813" max="12813" width="8.28515625" style="1" customWidth="1"/>
    <col min="12814" max="12814" width="18.85546875" style="1" customWidth="1"/>
    <col min="12815" max="12826" width="5.7109375" style="1" customWidth="1"/>
    <col min="12827" max="12827" width="10.7109375" style="1" customWidth="1"/>
    <col min="12828" max="12828" width="7.140625" style="1" customWidth="1"/>
    <col min="12829" max="12829" width="5.85546875" style="1" customWidth="1"/>
    <col min="12830" max="12830" width="18.7109375" style="1" customWidth="1"/>
    <col min="12831" max="12848" width="5.7109375" style="1" customWidth="1"/>
    <col min="12849" max="12849" width="6.140625" style="1" customWidth="1"/>
    <col min="12850" max="12850" width="6.85546875" style="1" customWidth="1"/>
    <col min="12851" max="12851" width="9" style="1" customWidth="1"/>
    <col min="12852" max="12852" width="6.7109375" style="1" customWidth="1"/>
    <col min="12853" max="12853" width="5.7109375" style="1" customWidth="1"/>
    <col min="12854" max="12854" width="18.5703125" style="1" customWidth="1"/>
    <col min="12855" max="12869" width="5.7109375" style="1" customWidth="1"/>
    <col min="12870" max="12870" width="9.42578125" style="1" customWidth="1"/>
    <col min="12871" max="12871" width="7.42578125" style="1" customWidth="1"/>
    <col min="12872" max="12884" width="5.7109375" style="1" customWidth="1"/>
    <col min="12885" max="12885" width="6.7109375" style="1" customWidth="1"/>
    <col min="12886" max="12886" width="7" style="1" customWidth="1"/>
    <col min="12887" max="12887" width="6.7109375" style="1" customWidth="1"/>
    <col min="12888" max="12888" width="6.42578125" style="1" customWidth="1"/>
    <col min="12889" max="12889" width="7" style="1" customWidth="1"/>
    <col min="12890" max="12890" width="7.7109375" style="1" customWidth="1"/>
    <col min="12891" max="12891" width="18.7109375" style="1" customWidth="1"/>
    <col min="12892" max="13058" width="8.42578125" style="1"/>
    <col min="13059" max="13059" width="11" style="1" customWidth="1"/>
    <col min="13060" max="13060" width="18.5703125" style="1" customWidth="1"/>
    <col min="13061" max="13062" width="10.140625" style="1" customWidth="1"/>
    <col min="13063" max="13067" width="8.28515625" style="1" customWidth="1"/>
    <col min="13068" max="13068" width="10.85546875" style="1" customWidth="1"/>
    <col min="13069" max="13069" width="8.28515625" style="1" customWidth="1"/>
    <col min="13070" max="13070" width="18.85546875" style="1" customWidth="1"/>
    <col min="13071" max="13082" width="5.7109375" style="1" customWidth="1"/>
    <col min="13083" max="13083" width="10.7109375" style="1" customWidth="1"/>
    <col min="13084" max="13084" width="7.140625" style="1" customWidth="1"/>
    <col min="13085" max="13085" width="5.85546875" style="1" customWidth="1"/>
    <col min="13086" max="13086" width="18.7109375" style="1" customWidth="1"/>
    <col min="13087" max="13104" width="5.7109375" style="1" customWidth="1"/>
    <col min="13105" max="13105" width="6.140625" style="1" customWidth="1"/>
    <col min="13106" max="13106" width="6.85546875" style="1" customWidth="1"/>
    <col min="13107" max="13107" width="9" style="1" customWidth="1"/>
    <col min="13108" max="13108" width="6.7109375" style="1" customWidth="1"/>
    <col min="13109" max="13109" width="5.7109375" style="1" customWidth="1"/>
    <col min="13110" max="13110" width="18.5703125" style="1" customWidth="1"/>
    <col min="13111" max="13125" width="5.7109375" style="1" customWidth="1"/>
    <col min="13126" max="13126" width="9.42578125" style="1" customWidth="1"/>
    <col min="13127" max="13127" width="7.42578125" style="1" customWidth="1"/>
    <col min="13128" max="13140" width="5.7109375" style="1" customWidth="1"/>
    <col min="13141" max="13141" width="6.7109375" style="1" customWidth="1"/>
    <col min="13142" max="13142" width="7" style="1" customWidth="1"/>
    <col min="13143" max="13143" width="6.7109375" style="1" customWidth="1"/>
    <col min="13144" max="13144" width="6.42578125" style="1" customWidth="1"/>
    <col min="13145" max="13145" width="7" style="1" customWidth="1"/>
    <col min="13146" max="13146" width="7.7109375" style="1" customWidth="1"/>
    <col min="13147" max="13147" width="18.7109375" style="1" customWidth="1"/>
    <col min="13148" max="13314" width="8.42578125" style="1"/>
    <col min="13315" max="13315" width="11" style="1" customWidth="1"/>
    <col min="13316" max="13316" width="18.5703125" style="1" customWidth="1"/>
    <col min="13317" max="13318" width="10.140625" style="1" customWidth="1"/>
    <col min="13319" max="13323" width="8.28515625" style="1" customWidth="1"/>
    <col min="13324" max="13324" width="10.85546875" style="1" customWidth="1"/>
    <col min="13325" max="13325" width="8.28515625" style="1" customWidth="1"/>
    <col min="13326" max="13326" width="18.85546875" style="1" customWidth="1"/>
    <col min="13327" max="13338" width="5.7109375" style="1" customWidth="1"/>
    <col min="13339" max="13339" width="10.7109375" style="1" customWidth="1"/>
    <col min="13340" max="13340" width="7.140625" style="1" customWidth="1"/>
    <col min="13341" max="13341" width="5.85546875" style="1" customWidth="1"/>
    <col min="13342" max="13342" width="18.7109375" style="1" customWidth="1"/>
    <col min="13343" max="13360" width="5.7109375" style="1" customWidth="1"/>
    <col min="13361" max="13361" width="6.140625" style="1" customWidth="1"/>
    <col min="13362" max="13362" width="6.85546875" style="1" customWidth="1"/>
    <col min="13363" max="13363" width="9" style="1" customWidth="1"/>
    <col min="13364" max="13364" width="6.7109375" style="1" customWidth="1"/>
    <col min="13365" max="13365" width="5.7109375" style="1" customWidth="1"/>
    <col min="13366" max="13366" width="18.5703125" style="1" customWidth="1"/>
    <col min="13367" max="13381" width="5.7109375" style="1" customWidth="1"/>
    <col min="13382" max="13382" width="9.42578125" style="1" customWidth="1"/>
    <col min="13383" max="13383" width="7.42578125" style="1" customWidth="1"/>
    <col min="13384" max="13396" width="5.7109375" style="1" customWidth="1"/>
    <col min="13397" max="13397" width="6.7109375" style="1" customWidth="1"/>
    <col min="13398" max="13398" width="7" style="1" customWidth="1"/>
    <col min="13399" max="13399" width="6.7109375" style="1" customWidth="1"/>
    <col min="13400" max="13400" width="6.42578125" style="1" customWidth="1"/>
    <col min="13401" max="13401" width="7" style="1" customWidth="1"/>
    <col min="13402" max="13402" width="7.7109375" style="1" customWidth="1"/>
    <col min="13403" max="13403" width="18.7109375" style="1" customWidth="1"/>
    <col min="13404" max="13570" width="8.42578125" style="1"/>
    <col min="13571" max="13571" width="11" style="1" customWidth="1"/>
    <col min="13572" max="13572" width="18.5703125" style="1" customWidth="1"/>
    <col min="13573" max="13574" width="10.140625" style="1" customWidth="1"/>
    <col min="13575" max="13579" width="8.28515625" style="1" customWidth="1"/>
    <col min="13580" max="13580" width="10.85546875" style="1" customWidth="1"/>
    <col min="13581" max="13581" width="8.28515625" style="1" customWidth="1"/>
    <col min="13582" max="13582" width="18.85546875" style="1" customWidth="1"/>
    <col min="13583" max="13594" width="5.7109375" style="1" customWidth="1"/>
    <col min="13595" max="13595" width="10.7109375" style="1" customWidth="1"/>
    <col min="13596" max="13596" width="7.140625" style="1" customWidth="1"/>
    <col min="13597" max="13597" width="5.85546875" style="1" customWidth="1"/>
    <col min="13598" max="13598" width="18.7109375" style="1" customWidth="1"/>
    <col min="13599" max="13616" width="5.7109375" style="1" customWidth="1"/>
    <col min="13617" max="13617" width="6.140625" style="1" customWidth="1"/>
    <col min="13618" max="13618" width="6.85546875" style="1" customWidth="1"/>
    <col min="13619" max="13619" width="9" style="1" customWidth="1"/>
    <col min="13620" max="13620" width="6.7109375" style="1" customWidth="1"/>
    <col min="13621" max="13621" width="5.7109375" style="1" customWidth="1"/>
    <col min="13622" max="13622" width="18.5703125" style="1" customWidth="1"/>
    <col min="13623" max="13637" width="5.7109375" style="1" customWidth="1"/>
    <col min="13638" max="13638" width="9.42578125" style="1" customWidth="1"/>
    <col min="13639" max="13639" width="7.42578125" style="1" customWidth="1"/>
    <col min="13640" max="13652" width="5.7109375" style="1" customWidth="1"/>
    <col min="13653" max="13653" width="6.7109375" style="1" customWidth="1"/>
    <col min="13654" max="13654" width="7" style="1" customWidth="1"/>
    <col min="13655" max="13655" width="6.7109375" style="1" customWidth="1"/>
    <col min="13656" max="13656" width="6.42578125" style="1" customWidth="1"/>
    <col min="13657" max="13657" width="7" style="1" customWidth="1"/>
    <col min="13658" max="13658" width="7.7109375" style="1" customWidth="1"/>
    <col min="13659" max="13659" width="18.7109375" style="1" customWidth="1"/>
    <col min="13660" max="13826" width="8.42578125" style="1"/>
    <col min="13827" max="13827" width="11" style="1" customWidth="1"/>
    <col min="13828" max="13828" width="18.5703125" style="1" customWidth="1"/>
    <col min="13829" max="13830" width="10.140625" style="1" customWidth="1"/>
    <col min="13831" max="13835" width="8.28515625" style="1" customWidth="1"/>
    <col min="13836" max="13836" width="10.85546875" style="1" customWidth="1"/>
    <col min="13837" max="13837" width="8.28515625" style="1" customWidth="1"/>
    <col min="13838" max="13838" width="18.85546875" style="1" customWidth="1"/>
    <col min="13839" max="13850" width="5.7109375" style="1" customWidth="1"/>
    <col min="13851" max="13851" width="10.7109375" style="1" customWidth="1"/>
    <col min="13852" max="13852" width="7.140625" style="1" customWidth="1"/>
    <col min="13853" max="13853" width="5.85546875" style="1" customWidth="1"/>
    <col min="13854" max="13854" width="18.7109375" style="1" customWidth="1"/>
    <col min="13855" max="13872" width="5.7109375" style="1" customWidth="1"/>
    <col min="13873" max="13873" width="6.140625" style="1" customWidth="1"/>
    <col min="13874" max="13874" width="6.85546875" style="1" customWidth="1"/>
    <col min="13875" max="13875" width="9" style="1" customWidth="1"/>
    <col min="13876" max="13876" width="6.7109375" style="1" customWidth="1"/>
    <col min="13877" max="13877" width="5.7109375" style="1" customWidth="1"/>
    <col min="13878" max="13878" width="18.5703125" style="1" customWidth="1"/>
    <col min="13879" max="13893" width="5.7109375" style="1" customWidth="1"/>
    <col min="13894" max="13894" width="9.42578125" style="1" customWidth="1"/>
    <col min="13895" max="13895" width="7.42578125" style="1" customWidth="1"/>
    <col min="13896" max="13908" width="5.7109375" style="1" customWidth="1"/>
    <col min="13909" max="13909" width="6.7109375" style="1" customWidth="1"/>
    <col min="13910" max="13910" width="7" style="1" customWidth="1"/>
    <col min="13911" max="13911" width="6.7109375" style="1" customWidth="1"/>
    <col min="13912" max="13912" width="6.42578125" style="1" customWidth="1"/>
    <col min="13913" max="13913" width="7" style="1" customWidth="1"/>
    <col min="13914" max="13914" width="7.7109375" style="1" customWidth="1"/>
    <col min="13915" max="13915" width="18.7109375" style="1" customWidth="1"/>
    <col min="13916" max="14082" width="8.42578125" style="1"/>
    <col min="14083" max="14083" width="11" style="1" customWidth="1"/>
    <col min="14084" max="14084" width="18.5703125" style="1" customWidth="1"/>
    <col min="14085" max="14086" width="10.140625" style="1" customWidth="1"/>
    <col min="14087" max="14091" width="8.28515625" style="1" customWidth="1"/>
    <col min="14092" max="14092" width="10.85546875" style="1" customWidth="1"/>
    <col min="14093" max="14093" width="8.28515625" style="1" customWidth="1"/>
    <col min="14094" max="14094" width="18.85546875" style="1" customWidth="1"/>
    <col min="14095" max="14106" width="5.7109375" style="1" customWidth="1"/>
    <col min="14107" max="14107" width="10.7109375" style="1" customWidth="1"/>
    <col min="14108" max="14108" width="7.140625" style="1" customWidth="1"/>
    <col min="14109" max="14109" width="5.85546875" style="1" customWidth="1"/>
    <col min="14110" max="14110" width="18.7109375" style="1" customWidth="1"/>
    <col min="14111" max="14128" width="5.7109375" style="1" customWidth="1"/>
    <col min="14129" max="14129" width="6.140625" style="1" customWidth="1"/>
    <col min="14130" max="14130" width="6.85546875" style="1" customWidth="1"/>
    <col min="14131" max="14131" width="9" style="1" customWidth="1"/>
    <col min="14132" max="14132" width="6.7109375" style="1" customWidth="1"/>
    <col min="14133" max="14133" width="5.7109375" style="1" customWidth="1"/>
    <col min="14134" max="14134" width="18.5703125" style="1" customWidth="1"/>
    <col min="14135" max="14149" width="5.7109375" style="1" customWidth="1"/>
    <col min="14150" max="14150" width="9.42578125" style="1" customWidth="1"/>
    <col min="14151" max="14151" width="7.42578125" style="1" customWidth="1"/>
    <col min="14152" max="14164" width="5.7109375" style="1" customWidth="1"/>
    <col min="14165" max="14165" width="6.7109375" style="1" customWidth="1"/>
    <col min="14166" max="14166" width="7" style="1" customWidth="1"/>
    <col min="14167" max="14167" width="6.7109375" style="1" customWidth="1"/>
    <col min="14168" max="14168" width="6.42578125" style="1" customWidth="1"/>
    <col min="14169" max="14169" width="7" style="1" customWidth="1"/>
    <col min="14170" max="14170" width="7.7109375" style="1" customWidth="1"/>
    <col min="14171" max="14171" width="18.7109375" style="1" customWidth="1"/>
    <col min="14172" max="14338" width="8.42578125" style="1"/>
    <col min="14339" max="14339" width="11" style="1" customWidth="1"/>
    <col min="14340" max="14340" width="18.5703125" style="1" customWidth="1"/>
    <col min="14341" max="14342" width="10.140625" style="1" customWidth="1"/>
    <col min="14343" max="14347" width="8.28515625" style="1" customWidth="1"/>
    <col min="14348" max="14348" width="10.85546875" style="1" customWidth="1"/>
    <col min="14349" max="14349" width="8.28515625" style="1" customWidth="1"/>
    <col min="14350" max="14350" width="18.85546875" style="1" customWidth="1"/>
    <col min="14351" max="14362" width="5.7109375" style="1" customWidth="1"/>
    <col min="14363" max="14363" width="10.7109375" style="1" customWidth="1"/>
    <col min="14364" max="14364" width="7.140625" style="1" customWidth="1"/>
    <col min="14365" max="14365" width="5.85546875" style="1" customWidth="1"/>
    <col min="14366" max="14366" width="18.7109375" style="1" customWidth="1"/>
    <col min="14367" max="14384" width="5.7109375" style="1" customWidth="1"/>
    <col min="14385" max="14385" width="6.140625" style="1" customWidth="1"/>
    <col min="14386" max="14386" width="6.85546875" style="1" customWidth="1"/>
    <col min="14387" max="14387" width="9" style="1" customWidth="1"/>
    <col min="14388" max="14388" width="6.7109375" style="1" customWidth="1"/>
    <col min="14389" max="14389" width="5.7109375" style="1" customWidth="1"/>
    <col min="14390" max="14390" width="18.5703125" style="1" customWidth="1"/>
    <col min="14391" max="14405" width="5.7109375" style="1" customWidth="1"/>
    <col min="14406" max="14406" width="9.42578125" style="1" customWidth="1"/>
    <col min="14407" max="14407" width="7.42578125" style="1" customWidth="1"/>
    <col min="14408" max="14420" width="5.7109375" style="1" customWidth="1"/>
    <col min="14421" max="14421" width="6.7109375" style="1" customWidth="1"/>
    <col min="14422" max="14422" width="7" style="1" customWidth="1"/>
    <col min="14423" max="14423" width="6.7109375" style="1" customWidth="1"/>
    <col min="14424" max="14424" width="6.42578125" style="1" customWidth="1"/>
    <col min="14425" max="14425" width="7" style="1" customWidth="1"/>
    <col min="14426" max="14426" width="7.7109375" style="1" customWidth="1"/>
    <col min="14427" max="14427" width="18.7109375" style="1" customWidth="1"/>
    <col min="14428" max="14594" width="8.42578125" style="1"/>
    <col min="14595" max="14595" width="11" style="1" customWidth="1"/>
    <col min="14596" max="14596" width="18.5703125" style="1" customWidth="1"/>
    <col min="14597" max="14598" width="10.140625" style="1" customWidth="1"/>
    <col min="14599" max="14603" width="8.28515625" style="1" customWidth="1"/>
    <col min="14604" max="14604" width="10.85546875" style="1" customWidth="1"/>
    <col min="14605" max="14605" width="8.28515625" style="1" customWidth="1"/>
    <col min="14606" max="14606" width="18.85546875" style="1" customWidth="1"/>
    <col min="14607" max="14618" width="5.7109375" style="1" customWidth="1"/>
    <col min="14619" max="14619" width="10.7109375" style="1" customWidth="1"/>
    <col min="14620" max="14620" width="7.140625" style="1" customWidth="1"/>
    <col min="14621" max="14621" width="5.85546875" style="1" customWidth="1"/>
    <col min="14622" max="14622" width="18.7109375" style="1" customWidth="1"/>
    <col min="14623" max="14640" width="5.7109375" style="1" customWidth="1"/>
    <col min="14641" max="14641" width="6.140625" style="1" customWidth="1"/>
    <col min="14642" max="14642" width="6.85546875" style="1" customWidth="1"/>
    <col min="14643" max="14643" width="9" style="1" customWidth="1"/>
    <col min="14644" max="14644" width="6.7109375" style="1" customWidth="1"/>
    <col min="14645" max="14645" width="5.7109375" style="1" customWidth="1"/>
    <col min="14646" max="14646" width="18.5703125" style="1" customWidth="1"/>
    <col min="14647" max="14661" width="5.7109375" style="1" customWidth="1"/>
    <col min="14662" max="14662" width="9.42578125" style="1" customWidth="1"/>
    <col min="14663" max="14663" width="7.42578125" style="1" customWidth="1"/>
    <col min="14664" max="14676" width="5.7109375" style="1" customWidth="1"/>
    <col min="14677" max="14677" width="6.7109375" style="1" customWidth="1"/>
    <col min="14678" max="14678" width="7" style="1" customWidth="1"/>
    <col min="14679" max="14679" width="6.7109375" style="1" customWidth="1"/>
    <col min="14680" max="14680" width="6.42578125" style="1" customWidth="1"/>
    <col min="14681" max="14681" width="7" style="1" customWidth="1"/>
    <col min="14682" max="14682" width="7.7109375" style="1" customWidth="1"/>
    <col min="14683" max="14683" width="18.7109375" style="1" customWidth="1"/>
    <col min="14684" max="14850" width="8.42578125" style="1"/>
    <col min="14851" max="14851" width="11" style="1" customWidth="1"/>
    <col min="14852" max="14852" width="18.5703125" style="1" customWidth="1"/>
    <col min="14853" max="14854" width="10.140625" style="1" customWidth="1"/>
    <col min="14855" max="14859" width="8.28515625" style="1" customWidth="1"/>
    <col min="14860" max="14860" width="10.85546875" style="1" customWidth="1"/>
    <col min="14861" max="14861" width="8.28515625" style="1" customWidth="1"/>
    <col min="14862" max="14862" width="18.85546875" style="1" customWidth="1"/>
    <col min="14863" max="14874" width="5.7109375" style="1" customWidth="1"/>
    <col min="14875" max="14875" width="10.7109375" style="1" customWidth="1"/>
    <col min="14876" max="14876" width="7.140625" style="1" customWidth="1"/>
    <col min="14877" max="14877" width="5.85546875" style="1" customWidth="1"/>
    <col min="14878" max="14878" width="18.7109375" style="1" customWidth="1"/>
    <col min="14879" max="14896" width="5.7109375" style="1" customWidth="1"/>
    <col min="14897" max="14897" width="6.140625" style="1" customWidth="1"/>
    <col min="14898" max="14898" width="6.85546875" style="1" customWidth="1"/>
    <col min="14899" max="14899" width="9" style="1" customWidth="1"/>
    <col min="14900" max="14900" width="6.7109375" style="1" customWidth="1"/>
    <col min="14901" max="14901" width="5.7109375" style="1" customWidth="1"/>
    <col min="14902" max="14902" width="18.5703125" style="1" customWidth="1"/>
    <col min="14903" max="14917" width="5.7109375" style="1" customWidth="1"/>
    <col min="14918" max="14918" width="9.42578125" style="1" customWidth="1"/>
    <col min="14919" max="14919" width="7.42578125" style="1" customWidth="1"/>
    <col min="14920" max="14932" width="5.7109375" style="1" customWidth="1"/>
    <col min="14933" max="14933" width="6.7109375" style="1" customWidth="1"/>
    <col min="14934" max="14934" width="7" style="1" customWidth="1"/>
    <col min="14935" max="14935" width="6.7109375" style="1" customWidth="1"/>
    <col min="14936" max="14936" width="6.42578125" style="1" customWidth="1"/>
    <col min="14937" max="14937" width="7" style="1" customWidth="1"/>
    <col min="14938" max="14938" width="7.7109375" style="1" customWidth="1"/>
    <col min="14939" max="14939" width="18.7109375" style="1" customWidth="1"/>
    <col min="14940" max="15106" width="8.42578125" style="1"/>
    <col min="15107" max="15107" width="11" style="1" customWidth="1"/>
    <col min="15108" max="15108" width="18.5703125" style="1" customWidth="1"/>
    <col min="15109" max="15110" width="10.140625" style="1" customWidth="1"/>
    <col min="15111" max="15115" width="8.28515625" style="1" customWidth="1"/>
    <col min="15116" max="15116" width="10.85546875" style="1" customWidth="1"/>
    <col min="15117" max="15117" width="8.28515625" style="1" customWidth="1"/>
    <col min="15118" max="15118" width="18.85546875" style="1" customWidth="1"/>
    <col min="15119" max="15130" width="5.7109375" style="1" customWidth="1"/>
    <col min="15131" max="15131" width="10.7109375" style="1" customWidth="1"/>
    <col min="15132" max="15132" width="7.140625" style="1" customWidth="1"/>
    <col min="15133" max="15133" width="5.85546875" style="1" customWidth="1"/>
    <col min="15134" max="15134" width="18.7109375" style="1" customWidth="1"/>
    <col min="15135" max="15152" width="5.7109375" style="1" customWidth="1"/>
    <col min="15153" max="15153" width="6.140625" style="1" customWidth="1"/>
    <col min="15154" max="15154" width="6.85546875" style="1" customWidth="1"/>
    <col min="15155" max="15155" width="9" style="1" customWidth="1"/>
    <col min="15156" max="15156" width="6.7109375" style="1" customWidth="1"/>
    <col min="15157" max="15157" width="5.7109375" style="1" customWidth="1"/>
    <col min="15158" max="15158" width="18.5703125" style="1" customWidth="1"/>
    <col min="15159" max="15173" width="5.7109375" style="1" customWidth="1"/>
    <col min="15174" max="15174" width="9.42578125" style="1" customWidth="1"/>
    <col min="15175" max="15175" width="7.42578125" style="1" customWidth="1"/>
    <col min="15176" max="15188" width="5.7109375" style="1" customWidth="1"/>
    <col min="15189" max="15189" width="6.7109375" style="1" customWidth="1"/>
    <col min="15190" max="15190" width="7" style="1" customWidth="1"/>
    <col min="15191" max="15191" width="6.7109375" style="1" customWidth="1"/>
    <col min="15192" max="15192" width="6.42578125" style="1" customWidth="1"/>
    <col min="15193" max="15193" width="7" style="1" customWidth="1"/>
    <col min="15194" max="15194" width="7.7109375" style="1" customWidth="1"/>
    <col min="15195" max="15195" width="18.7109375" style="1" customWidth="1"/>
    <col min="15196" max="15362" width="8.42578125" style="1"/>
    <col min="15363" max="15363" width="11" style="1" customWidth="1"/>
    <col min="15364" max="15364" width="18.5703125" style="1" customWidth="1"/>
    <col min="15365" max="15366" width="10.140625" style="1" customWidth="1"/>
    <col min="15367" max="15371" width="8.28515625" style="1" customWidth="1"/>
    <col min="15372" max="15372" width="10.85546875" style="1" customWidth="1"/>
    <col min="15373" max="15373" width="8.28515625" style="1" customWidth="1"/>
    <col min="15374" max="15374" width="18.85546875" style="1" customWidth="1"/>
    <col min="15375" max="15386" width="5.7109375" style="1" customWidth="1"/>
    <col min="15387" max="15387" width="10.7109375" style="1" customWidth="1"/>
    <col min="15388" max="15388" width="7.140625" style="1" customWidth="1"/>
    <col min="15389" max="15389" width="5.85546875" style="1" customWidth="1"/>
    <col min="15390" max="15390" width="18.7109375" style="1" customWidth="1"/>
    <col min="15391" max="15408" width="5.7109375" style="1" customWidth="1"/>
    <col min="15409" max="15409" width="6.140625" style="1" customWidth="1"/>
    <col min="15410" max="15410" width="6.85546875" style="1" customWidth="1"/>
    <col min="15411" max="15411" width="9" style="1" customWidth="1"/>
    <col min="15412" max="15412" width="6.7109375" style="1" customWidth="1"/>
    <col min="15413" max="15413" width="5.7109375" style="1" customWidth="1"/>
    <col min="15414" max="15414" width="18.5703125" style="1" customWidth="1"/>
    <col min="15415" max="15429" width="5.7109375" style="1" customWidth="1"/>
    <col min="15430" max="15430" width="9.42578125" style="1" customWidth="1"/>
    <col min="15431" max="15431" width="7.42578125" style="1" customWidth="1"/>
    <col min="15432" max="15444" width="5.7109375" style="1" customWidth="1"/>
    <col min="15445" max="15445" width="6.7109375" style="1" customWidth="1"/>
    <col min="15446" max="15446" width="7" style="1" customWidth="1"/>
    <col min="15447" max="15447" width="6.7109375" style="1" customWidth="1"/>
    <col min="15448" max="15448" width="6.42578125" style="1" customWidth="1"/>
    <col min="15449" max="15449" width="7" style="1" customWidth="1"/>
    <col min="15450" max="15450" width="7.7109375" style="1" customWidth="1"/>
    <col min="15451" max="15451" width="18.7109375" style="1" customWidth="1"/>
    <col min="15452" max="15618" width="8.42578125" style="1"/>
    <col min="15619" max="15619" width="11" style="1" customWidth="1"/>
    <col min="15620" max="15620" width="18.5703125" style="1" customWidth="1"/>
    <col min="15621" max="15622" width="10.140625" style="1" customWidth="1"/>
    <col min="15623" max="15627" width="8.28515625" style="1" customWidth="1"/>
    <col min="15628" max="15628" width="10.85546875" style="1" customWidth="1"/>
    <col min="15629" max="15629" width="8.28515625" style="1" customWidth="1"/>
    <col min="15630" max="15630" width="18.85546875" style="1" customWidth="1"/>
    <col min="15631" max="15642" width="5.7109375" style="1" customWidth="1"/>
    <col min="15643" max="15643" width="10.7109375" style="1" customWidth="1"/>
    <col min="15644" max="15644" width="7.140625" style="1" customWidth="1"/>
    <col min="15645" max="15645" width="5.85546875" style="1" customWidth="1"/>
    <col min="15646" max="15646" width="18.7109375" style="1" customWidth="1"/>
    <col min="15647" max="15664" width="5.7109375" style="1" customWidth="1"/>
    <col min="15665" max="15665" width="6.140625" style="1" customWidth="1"/>
    <col min="15666" max="15666" width="6.85546875" style="1" customWidth="1"/>
    <col min="15667" max="15667" width="9" style="1" customWidth="1"/>
    <col min="15668" max="15668" width="6.7109375" style="1" customWidth="1"/>
    <col min="15669" max="15669" width="5.7109375" style="1" customWidth="1"/>
    <col min="15670" max="15670" width="18.5703125" style="1" customWidth="1"/>
    <col min="15671" max="15685" width="5.7109375" style="1" customWidth="1"/>
    <col min="15686" max="15686" width="9.42578125" style="1" customWidth="1"/>
    <col min="15687" max="15687" width="7.42578125" style="1" customWidth="1"/>
    <col min="15688" max="15700" width="5.7109375" style="1" customWidth="1"/>
    <col min="15701" max="15701" width="6.7109375" style="1" customWidth="1"/>
    <col min="15702" max="15702" width="7" style="1" customWidth="1"/>
    <col min="15703" max="15703" width="6.7109375" style="1" customWidth="1"/>
    <col min="15704" max="15704" width="6.42578125" style="1" customWidth="1"/>
    <col min="15705" max="15705" width="7" style="1" customWidth="1"/>
    <col min="15706" max="15706" width="7.7109375" style="1" customWidth="1"/>
    <col min="15707" max="15707" width="18.7109375" style="1" customWidth="1"/>
    <col min="15708" max="15874" width="8.42578125" style="1"/>
    <col min="15875" max="15875" width="11" style="1" customWidth="1"/>
    <col min="15876" max="15876" width="18.5703125" style="1" customWidth="1"/>
    <col min="15877" max="15878" width="10.140625" style="1" customWidth="1"/>
    <col min="15879" max="15883" width="8.28515625" style="1" customWidth="1"/>
    <col min="15884" max="15884" width="10.85546875" style="1" customWidth="1"/>
    <col min="15885" max="15885" width="8.28515625" style="1" customWidth="1"/>
    <col min="15886" max="15886" width="18.85546875" style="1" customWidth="1"/>
    <col min="15887" max="15898" width="5.7109375" style="1" customWidth="1"/>
    <col min="15899" max="15899" width="10.7109375" style="1" customWidth="1"/>
    <col min="15900" max="15900" width="7.140625" style="1" customWidth="1"/>
    <col min="15901" max="15901" width="5.85546875" style="1" customWidth="1"/>
    <col min="15902" max="15902" width="18.7109375" style="1" customWidth="1"/>
    <col min="15903" max="15920" width="5.7109375" style="1" customWidth="1"/>
    <col min="15921" max="15921" width="6.140625" style="1" customWidth="1"/>
    <col min="15922" max="15922" width="6.85546875" style="1" customWidth="1"/>
    <col min="15923" max="15923" width="9" style="1" customWidth="1"/>
    <col min="15924" max="15924" width="6.7109375" style="1" customWidth="1"/>
    <col min="15925" max="15925" width="5.7109375" style="1" customWidth="1"/>
    <col min="15926" max="15926" width="18.5703125" style="1" customWidth="1"/>
    <col min="15927" max="15941" width="5.7109375" style="1" customWidth="1"/>
    <col min="15942" max="15942" width="9.42578125" style="1" customWidth="1"/>
    <col min="15943" max="15943" width="7.42578125" style="1" customWidth="1"/>
    <col min="15944" max="15956" width="5.7109375" style="1" customWidth="1"/>
    <col min="15957" max="15957" width="6.7109375" style="1" customWidth="1"/>
    <col min="15958" max="15958" width="7" style="1" customWidth="1"/>
    <col min="15959" max="15959" width="6.7109375" style="1" customWidth="1"/>
    <col min="15960" max="15960" width="6.42578125" style="1" customWidth="1"/>
    <col min="15961" max="15961" width="7" style="1" customWidth="1"/>
    <col min="15962" max="15962" width="7.7109375" style="1" customWidth="1"/>
    <col min="15963" max="15963" width="18.7109375" style="1" customWidth="1"/>
    <col min="15964" max="16130" width="8.42578125" style="1"/>
    <col min="16131" max="16131" width="11" style="1" customWidth="1"/>
    <col min="16132" max="16132" width="18.5703125" style="1" customWidth="1"/>
    <col min="16133" max="16134" width="10.140625" style="1" customWidth="1"/>
    <col min="16135" max="16139" width="8.28515625" style="1" customWidth="1"/>
    <col min="16140" max="16140" width="10.85546875" style="1" customWidth="1"/>
    <col min="16141" max="16141" width="8.28515625" style="1" customWidth="1"/>
    <col min="16142" max="16142" width="18.85546875" style="1" customWidth="1"/>
    <col min="16143" max="16154" width="5.7109375" style="1" customWidth="1"/>
    <col min="16155" max="16155" width="10.7109375" style="1" customWidth="1"/>
    <col min="16156" max="16156" width="7.140625" style="1" customWidth="1"/>
    <col min="16157" max="16157" width="5.85546875" style="1" customWidth="1"/>
    <col min="16158" max="16158" width="18.7109375" style="1" customWidth="1"/>
    <col min="16159" max="16176" width="5.7109375" style="1" customWidth="1"/>
    <col min="16177" max="16177" width="6.140625" style="1" customWidth="1"/>
    <col min="16178" max="16178" width="6.85546875" style="1" customWidth="1"/>
    <col min="16179" max="16179" width="9" style="1" customWidth="1"/>
    <col min="16180" max="16180" width="6.7109375" style="1" customWidth="1"/>
    <col min="16181" max="16181" width="5.7109375" style="1" customWidth="1"/>
    <col min="16182" max="16182" width="18.5703125" style="1" customWidth="1"/>
    <col min="16183" max="16197" width="5.7109375" style="1" customWidth="1"/>
    <col min="16198" max="16198" width="9.42578125" style="1" customWidth="1"/>
    <col min="16199" max="16199" width="7.42578125" style="1" customWidth="1"/>
    <col min="16200" max="16212" width="5.7109375" style="1" customWidth="1"/>
    <col min="16213" max="16213" width="6.7109375" style="1" customWidth="1"/>
    <col min="16214" max="16214" width="7" style="1" customWidth="1"/>
    <col min="16215" max="16215" width="6.7109375" style="1" customWidth="1"/>
    <col min="16216" max="16216" width="6.42578125" style="1" customWidth="1"/>
    <col min="16217" max="16217" width="7" style="1" customWidth="1"/>
    <col min="16218" max="16218" width="7.7109375" style="1" customWidth="1"/>
    <col min="16219" max="16219" width="18.7109375" style="1" customWidth="1"/>
    <col min="16220" max="16384" width="8.42578125" style="1"/>
  </cols>
  <sheetData>
    <row r="1" spans="1:91" ht="15" customHeight="1">
      <c r="A1" s="370" t="s">
        <v>397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64" t="s">
        <v>398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 t="s">
        <v>400</v>
      </c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364"/>
      <c r="AO1" s="364"/>
      <c r="AP1" s="364"/>
      <c r="AQ1" s="364"/>
      <c r="AR1" s="364"/>
      <c r="AS1" s="364"/>
      <c r="AT1" s="364"/>
      <c r="AU1" s="364"/>
      <c r="AV1" s="364"/>
      <c r="AW1" s="364"/>
      <c r="AX1" s="364"/>
      <c r="AY1" s="364"/>
      <c r="AZ1" s="235" t="s">
        <v>275</v>
      </c>
      <c r="BA1" s="105" t="s">
        <v>71</v>
      </c>
      <c r="BB1" s="105"/>
      <c r="BC1" s="105"/>
      <c r="BD1" s="105"/>
      <c r="BE1" s="105"/>
      <c r="BF1" s="62"/>
      <c r="BG1" s="105" t="s">
        <v>246</v>
      </c>
      <c r="BH1" s="105"/>
      <c r="BI1" s="105"/>
      <c r="BJ1" s="105"/>
      <c r="BK1" s="105"/>
      <c r="BL1" s="105"/>
      <c r="BM1" s="105"/>
      <c r="BN1" s="105"/>
      <c r="BO1" s="62"/>
      <c r="BP1" s="63"/>
      <c r="BQ1" s="63"/>
      <c r="BR1" s="62"/>
      <c r="BS1" s="63"/>
      <c r="BT1" s="376" t="s">
        <v>399</v>
      </c>
      <c r="BU1" s="364"/>
      <c r="BV1" s="364"/>
      <c r="BW1" s="364"/>
      <c r="BX1" s="364"/>
      <c r="BY1" s="364"/>
      <c r="BZ1" s="364"/>
      <c r="CA1" s="364"/>
      <c r="CB1" s="364"/>
      <c r="CC1" s="364"/>
      <c r="CD1" s="364"/>
      <c r="CE1" s="364"/>
      <c r="CF1" s="364"/>
      <c r="CG1" s="364"/>
      <c r="CH1" s="364"/>
      <c r="CI1" s="364"/>
      <c r="CJ1" s="364"/>
      <c r="CK1" s="364"/>
      <c r="CL1" s="364"/>
      <c r="CM1" s="364"/>
    </row>
    <row r="2" spans="1:91">
      <c r="A2" s="3" t="s">
        <v>68</v>
      </c>
      <c r="B2" s="45" t="s">
        <v>34</v>
      </c>
      <c r="C2" s="108" t="s">
        <v>67</v>
      </c>
      <c r="D2" s="108" t="s">
        <v>66</v>
      </c>
      <c r="E2" s="89" t="s">
        <v>65</v>
      </c>
      <c r="F2" s="89" t="s">
        <v>64</v>
      </c>
      <c r="G2" s="89" t="s">
        <v>63</v>
      </c>
      <c r="H2" s="89" t="s">
        <v>62</v>
      </c>
      <c r="I2" s="89" t="s">
        <v>61</v>
      </c>
      <c r="J2" s="89" t="s">
        <v>60</v>
      </c>
      <c r="K2" s="89" t="s">
        <v>59</v>
      </c>
      <c r="L2" s="45" t="s">
        <v>34</v>
      </c>
      <c r="M2" s="81" t="s">
        <v>276</v>
      </c>
      <c r="N2" s="85"/>
      <c r="O2" s="84"/>
      <c r="P2" s="93" t="s">
        <v>57</v>
      </c>
      <c r="Q2" s="109"/>
      <c r="R2" s="83"/>
      <c r="S2" s="93" t="s">
        <v>277</v>
      </c>
      <c r="T2" s="109"/>
      <c r="U2" s="83"/>
      <c r="V2" s="93" t="s">
        <v>278</v>
      </c>
      <c r="W2" s="109"/>
      <c r="X2" s="83"/>
      <c r="Y2" s="62" t="s">
        <v>35</v>
      </c>
      <c r="Z2" s="87" t="s">
        <v>36</v>
      </c>
      <c r="AA2" s="32"/>
      <c r="AB2" s="32" t="s">
        <v>34</v>
      </c>
      <c r="AC2" s="93" t="s">
        <v>279</v>
      </c>
      <c r="AD2" s="109"/>
      <c r="AE2" s="83"/>
      <c r="AF2" s="93" t="s">
        <v>280</v>
      </c>
      <c r="AG2" s="109"/>
      <c r="AH2" s="83"/>
      <c r="AI2" s="93" t="s">
        <v>281</v>
      </c>
      <c r="AJ2" s="109"/>
      <c r="AK2" s="83"/>
      <c r="AL2" s="93" t="s">
        <v>143</v>
      </c>
      <c r="AM2" s="109"/>
      <c r="AN2" s="83"/>
      <c r="AO2" s="93" t="s">
        <v>282</v>
      </c>
      <c r="AP2" s="109"/>
      <c r="AQ2" s="83"/>
      <c r="AR2" s="93" t="s">
        <v>183</v>
      </c>
      <c r="AS2" s="109"/>
      <c r="AT2" s="83"/>
      <c r="AU2" s="62" t="s">
        <v>35</v>
      </c>
      <c r="AV2" s="45" t="s">
        <v>36</v>
      </c>
      <c r="AW2" s="45" t="s">
        <v>47</v>
      </c>
      <c r="AX2" s="45" t="s">
        <v>283</v>
      </c>
      <c r="AY2" s="45"/>
      <c r="AZ2" s="32" t="s">
        <v>34</v>
      </c>
      <c r="BA2" s="86" t="s">
        <v>252</v>
      </c>
      <c r="BB2" s="85"/>
      <c r="BC2" s="84"/>
      <c r="BD2" s="86" t="s">
        <v>253</v>
      </c>
      <c r="BE2" s="85"/>
      <c r="BF2" s="84"/>
      <c r="BG2" s="86" t="s">
        <v>254</v>
      </c>
      <c r="BH2" s="85"/>
      <c r="BI2" s="84"/>
      <c r="BJ2" s="86" t="s">
        <v>255</v>
      </c>
      <c r="BK2" s="85"/>
      <c r="BL2" s="84"/>
      <c r="BM2" s="86" t="s">
        <v>406</v>
      </c>
      <c r="BN2" s="85"/>
      <c r="BO2" s="84"/>
      <c r="BP2" s="45" t="s">
        <v>35</v>
      </c>
      <c r="BQ2" s="45" t="s">
        <v>36</v>
      </c>
      <c r="BR2" s="45" t="s">
        <v>41</v>
      </c>
      <c r="BS2" s="87"/>
      <c r="BT2" s="86" t="s">
        <v>257</v>
      </c>
      <c r="BU2" s="182"/>
      <c r="BV2" s="183"/>
      <c r="BW2" s="86" t="s">
        <v>258</v>
      </c>
      <c r="BX2" s="182"/>
      <c r="BY2" s="183"/>
      <c r="BZ2" s="86" t="s">
        <v>259</v>
      </c>
      <c r="CA2" s="182"/>
      <c r="CB2" s="183"/>
      <c r="CC2" s="86" t="s">
        <v>112</v>
      </c>
      <c r="CD2" s="182"/>
      <c r="CE2" s="183"/>
      <c r="CF2" s="62" t="s">
        <v>35</v>
      </c>
      <c r="CG2" s="45" t="s">
        <v>36</v>
      </c>
      <c r="CH2" s="45" t="s">
        <v>260</v>
      </c>
      <c r="CI2" s="45" t="s">
        <v>261</v>
      </c>
      <c r="CJ2" s="31" t="s">
        <v>35</v>
      </c>
      <c r="CK2" s="3" t="s">
        <v>262</v>
      </c>
      <c r="CL2" s="3"/>
      <c r="CM2" s="32" t="s">
        <v>34</v>
      </c>
    </row>
    <row r="3" spans="1:91">
      <c r="A3" s="3"/>
      <c r="B3" s="32" t="s">
        <v>284</v>
      </c>
      <c r="C3" s="150">
        <v>33677</v>
      </c>
      <c r="D3" s="47" t="s">
        <v>19</v>
      </c>
      <c r="E3" s="47">
        <v>172</v>
      </c>
      <c r="F3" s="47">
        <v>80</v>
      </c>
      <c r="G3" s="47">
        <v>93</v>
      </c>
      <c r="H3" s="47">
        <v>1.1339999999999999</v>
      </c>
      <c r="I3" s="151">
        <f t="shared" ref="I3:I10" si="0">F3/(E3/100)^2</f>
        <v>27.041644131963228</v>
      </c>
      <c r="J3" s="43" t="s">
        <v>21</v>
      </c>
      <c r="K3" s="47">
        <f t="shared" ref="K3:K10" si="1">((E3-F3)*E3)/(H3*2*G3)</f>
        <v>75.022282907587581</v>
      </c>
      <c r="L3" s="32" t="s">
        <v>284</v>
      </c>
      <c r="M3" s="32">
        <v>222</v>
      </c>
      <c r="N3" s="40">
        <v>7</v>
      </c>
      <c r="O3" s="30">
        <f t="shared" ref="O3:O10" si="2">IF(M3=0,"",IF(M3&lt;200,2,IF(AND(M3&gt;=200,M3&lt;215),3,IF(AND(M3&gt;=215,M3&lt;227),4,IF(AND(M3&gt;=227),5)))))</f>
        <v>4</v>
      </c>
      <c r="P3" s="32">
        <v>4</v>
      </c>
      <c r="Q3" s="40">
        <v>16</v>
      </c>
      <c r="R3" s="30">
        <f t="shared" ref="R3:R10" si="3">IF(P3=0,"",IF(P3&gt;5,2,IF(AND(P3&lt;=5,P3&gt;4.7),3,IF(AND(P3&lt;=4.7,P3&gt;4.2),4,IF(AND(P3&lt;=4.2),5)))))</f>
        <v>5</v>
      </c>
      <c r="S3" s="32">
        <v>9.1999999999999993</v>
      </c>
      <c r="T3" s="40">
        <v>16</v>
      </c>
      <c r="U3" s="30">
        <f t="shared" ref="U3:U10" si="4">IF(S3=0,"",IF(S3&gt;10,2,IF(AND(S3&lt;=10,S3&gt;9.7),3,IF(AND(S3&lt;=9.7,S3&gt;9.5),4,IF(AND(S3&lt;=9.5),5)))))</f>
        <v>5</v>
      </c>
      <c r="V3" s="32">
        <v>1650</v>
      </c>
      <c r="W3" s="40">
        <v>20</v>
      </c>
      <c r="X3" s="30">
        <f t="shared" ref="X3:X10" si="5">IF(V3=0,"",IF(V3&lt;1330,2,IF(AND(V3&gt;=1330,V3&lt;1430),3,IF(AND(V3&gt;=1430,V3&lt;1530),4,IF(AND(V3&gt;=1530),5)))))</f>
        <v>5</v>
      </c>
      <c r="Y3" s="40">
        <f t="shared" ref="Y3:Y10" si="6">SUM(N3,Q3,T3,W3)</f>
        <v>59</v>
      </c>
      <c r="Z3" s="30">
        <f t="shared" ref="Z3:Z10" si="7">IF(Y3=0,"",IF(Y3&lt;4,2,IF(AND(Y3&gt;=4,Y3&lt;16),3,IF(AND(Y3&gt;=16,Y3&lt;30),4,IF(AND(Y3&gt;=30),5)))))</f>
        <v>5</v>
      </c>
      <c r="AA3" s="41"/>
      <c r="AB3" s="32" t="s">
        <v>284</v>
      </c>
      <c r="AC3" s="32">
        <v>52</v>
      </c>
      <c r="AD3" s="40">
        <v>12</v>
      </c>
      <c r="AE3" s="30">
        <f t="shared" ref="AE3:AE10" si="8">IF(AC3=0,"",IF(AC3&lt;35,2,IF(AND(AC3&gt;=35,AC3&lt;43),3,IF(AND(AC3&gt;=43,AC3&lt;50),4,IF(AND(AC3&gt;=50),5)))))</f>
        <v>5</v>
      </c>
      <c r="AF3" s="32">
        <v>28</v>
      </c>
      <c r="AG3" s="40">
        <v>20</v>
      </c>
      <c r="AH3" s="30">
        <f t="shared" ref="AH3:AH10" si="9">IF(AF3=0,"",IF(AF3&lt;6,2,IF(AND(AF3&gt;=6,AF3&lt;9),3,IF(AND(AF3&gt;=9,AF3&lt;11),4,IF(AND(AF3&gt;=11),5)))))</f>
        <v>5</v>
      </c>
      <c r="AI3" s="32">
        <v>200</v>
      </c>
      <c r="AJ3" s="40">
        <v>20</v>
      </c>
      <c r="AK3" s="30">
        <f t="shared" ref="AK3:AK10" si="10">IF(AI3=0,"",IF(AI3&lt;120,2,IF(AND(AI3&gt;=120,AI3&lt;135),3,IF(AND(AI3&gt;=135,AI3&lt;145),4,IF(AND(AI3&gt;=145),5)))))</f>
        <v>5</v>
      </c>
      <c r="AL3" s="32">
        <v>12</v>
      </c>
      <c r="AM3" s="40">
        <v>10</v>
      </c>
      <c r="AN3" s="30">
        <f t="shared" ref="AN3:AN10" si="11">IF(AL3=0,"",IF(AL3&lt;8,2,IF(AND(AL3&gt;=8,AL3&lt;10),3,IF(AND(AL3&gt;=10,AL3&lt;12),4,IF(AND(AL3&gt;=12),5)))))</f>
        <v>5</v>
      </c>
      <c r="AO3" s="32">
        <v>20</v>
      </c>
      <c r="AP3" s="40">
        <v>20</v>
      </c>
      <c r="AQ3" s="30">
        <f t="shared" ref="AQ3:AQ10" si="12">IF(AO3=0,"",IF(AO3&lt;1,2,IF(AND(AO3&gt;=1,AO3&lt;5),3,IF(AND(AO3&gt;=5,AO3&lt;10),4,IF(AND(AO3&gt;=10),5)))))</f>
        <v>5</v>
      </c>
      <c r="AR3" s="45">
        <v>10</v>
      </c>
      <c r="AS3" s="40">
        <v>10</v>
      </c>
      <c r="AT3" s="30">
        <f t="shared" ref="AT3:AT10" si="13">IF(AR3=0,"",IF(AR3&lt;1,2,IF(AND(AR3&gt;=1,AR3&lt;5),3,IF(AND(AR3&gt;=5,AR3&lt;10),4,IF(AND(AR3&gt;=10),5)))))</f>
        <v>5</v>
      </c>
      <c r="AU3" s="40">
        <f t="shared" ref="AU3:AU10" si="14">SUM(AD3,AG3,AJ3,AM3,AP3,AS3)</f>
        <v>92</v>
      </c>
      <c r="AV3" s="30">
        <f t="shared" ref="AV3:AV10" si="15">IF(AU3=0,"",IF(AU3&lt;6,2,IF(AND(AU3&gt;=6,AU3&lt;20),3,IF(AND(AU3&gt;=20,AU3&lt;46),4,IF(AND(AU3&gt;=46),5)))))</f>
        <v>5</v>
      </c>
      <c r="AW3" s="40">
        <f t="shared" ref="AW3:AW10" si="16">SUM(Y3,AU3)</f>
        <v>151</v>
      </c>
      <c r="AX3" s="30">
        <f t="shared" ref="AX3:AX10" si="17">IF(AW3=0,"",IF(AW3&lt;10,2,IF(AND(AW3&gt;=10,AW3&lt;36),3,IF(AND(AW3&gt;=36,AW3&lt;76),4,IF(AND(AW3&gt;=76),5)))))</f>
        <v>5</v>
      </c>
      <c r="AY3" s="223">
        <v>5</v>
      </c>
      <c r="AZ3" s="32" t="s">
        <v>284</v>
      </c>
      <c r="BA3" s="32">
        <v>16.14</v>
      </c>
      <c r="BB3" s="349">
        <v>5</v>
      </c>
      <c r="BC3" s="30">
        <v>4</v>
      </c>
      <c r="BD3" s="32">
        <v>23.55</v>
      </c>
      <c r="BE3" s="349">
        <v>5</v>
      </c>
      <c r="BF3" s="30">
        <v>4</v>
      </c>
      <c r="BG3" s="31">
        <v>10</v>
      </c>
      <c r="BH3" s="344">
        <v>10</v>
      </c>
      <c r="BI3" s="30">
        <f t="shared" ref="BI3:BI10" si="18">IF(BG3=0,"",IF(BG3&lt;6,2,IF(AND(BG3&gt;=6,BG3&lt;8),3,IF(AND(BG3&gt;=8,BG3&lt;10),4,IF(AND(BG3&gt;=10),5)))))</f>
        <v>5</v>
      </c>
      <c r="BJ3" s="31">
        <v>10</v>
      </c>
      <c r="BK3" s="344">
        <v>10</v>
      </c>
      <c r="BL3" s="30">
        <f t="shared" ref="BL3:BL10" si="19">IF(BJ3=0,"",IF(BJ3&lt;6,2,IF(AND(BJ3&gt;=6,BJ3&lt;8),3,IF(AND(BJ3&gt;=8,BJ3&lt;10),4,IF(AND(BJ3&gt;=10),5)))))</f>
        <v>5</v>
      </c>
      <c r="BM3" s="31">
        <v>4</v>
      </c>
      <c r="BN3" s="344">
        <v>14</v>
      </c>
      <c r="BO3" s="30">
        <f t="shared" ref="BO3:BO10" si="20">IF(BM3=0,"",IF(BM3&lt;1,2,IF(AND(BM3&gt;=1,BM3&lt;2),3,IF(AND(BM3&gt;=2,BM3&lt;3),4,IF(AND(BM3&gt;=3),5)))))</f>
        <v>5</v>
      </c>
      <c r="BP3" s="40">
        <f t="shared" ref="BP3:BP10" si="21">SUM(BB3,BE3,BH3,BK3,BN3)</f>
        <v>44</v>
      </c>
      <c r="BQ3" s="30">
        <f t="shared" ref="BQ3:BQ10" si="22">IF(BP3=0,"",IF(BP3&lt;5,2,IF(AND(BP3&gt;=5,BP3&lt;17),3,IF(AND(BP3&gt;=17,BP3&lt;40),4,IF(AND(BP3&gt;=40),5)))))</f>
        <v>5</v>
      </c>
      <c r="BR3" s="40">
        <f t="shared" ref="BR3:BR10" si="23">SUM(AW3,BP3)</f>
        <v>195</v>
      </c>
      <c r="BS3" s="41"/>
      <c r="BT3" s="31">
        <v>13.7</v>
      </c>
      <c r="BU3" s="344">
        <v>13</v>
      </c>
      <c r="BV3" s="30">
        <f t="shared" ref="BV3:BV10" si="24">IF(BT3=0,"",IF(BT3&gt;15,2,IF(AND(BT3&lt;=15,BT3&gt;14.5),3,IF(AND(BT3&lt;=14.5,BT3&gt;14.2),4,IF(AND(BT3&lt;=14.2),5)))))</f>
        <v>5</v>
      </c>
      <c r="BW3" s="31">
        <v>13.35</v>
      </c>
      <c r="BX3" s="344">
        <v>8</v>
      </c>
      <c r="BY3" s="30">
        <f t="shared" ref="BY3:BY10" si="25">IF(BW3=0,"",IF(BW3&gt;16.3,2,IF(AND(BW3&lt;=16.3,BW3&gt;15),3,IF(AND(BW3&lt;=15,BW3&gt;13),4,IF(AND(BW3&lt;=13),5)))))</f>
        <v>4</v>
      </c>
      <c r="BZ3" s="31">
        <v>40</v>
      </c>
      <c r="CA3" s="344">
        <v>14</v>
      </c>
      <c r="CB3" s="30">
        <f t="shared" ref="CB3:CB10" si="26">IF(BZ3=0,"",IF(BZ3&lt;26,2,IF(AND(BZ3&gt;=26,BZ3&lt;32),3,IF(AND(BZ3&gt;=32,BZ3&lt;38),4,IF(AND(BZ3&gt;=38),5)))))</f>
        <v>5</v>
      </c>
      <c r="CC3" s="31">
        <v>45</v>
      </c>
      <c r="CD3" s="344">
        <v>20</v>
      </c>
      <c r="CE3" s="30">
        <f t="shared" ref="CE3:CE10" si="27">IF(CC3=0,"",IF(CC3&lt;15,2,IF(AND(CC3&gt;=15,CC3&lt;25),3,IF(AND(CC3&gt;=25,CC3&lt;35),4,IF(AND(CC3&gt;=35),5)))))</f>
        <v>5</v>
      </c>
      <c r="CF3" s="40">
        <f t="shared" ref="CF3:CF10" si="28">SUM(BU3,BX3,CA3,CD3)</f>
        <v>55</v>
      </c>
      <c r="CG3" s="30">
        <f t="shared" ref="CG3:CG10" si="29">IF(CF3=0,"",IF(CF3&lt;4,2,IF(AND(CF3&gt;=4,CF3&lt;16),3,IF(AND(CF3&gt;=16,CF3&lt;30),4,IF(AND(CF3&gt;=30),5)))))</f>
        <v>5</v>
      </c>
      <c r="CH3" s="40">
        <f t="shared" ref="CH3:CH10" si="30">SUM(BP3,CF3)</f>
        <v>99</v>
      </c>
      <c r="CI3" s="30">
        <f t="shared" ref="CI3:CI10" si="31">IF(CH3=0,"",IF(CH3&lt;9,2,IF(AND(CH3&gt;=9,CH3&lt;33),3,IF(AND(CH3&gt;=33,CH3&lt;70),4,IF(AND(CH3&gt;=70),5)))))</f>
        <v>5</v>
      </c>
      <c r="CJ3" s="40">
        <f t="shared" ref="CJ3:CJ10" si="32">SUM(BR3,CF3)</f>
        <v>250</v>
      </c>
      <c r="CK3" s="30">
        <f t="shared" ref="CK3:CK10" si="33">IF(CJ3=0,"",IF(CJ3&lt;19,2,IF(AND(CJ3&gt;=19,CJ3&lt;69),3,IF(AND(CJ3&gt;=69,CJ3&lt;146),4,IF(AND(CJ3&gt;=146),5)))))</f>
        <v>5</v>
      </c>
      <c r="CL3" s="41"/>
      <c r="CM3" s="32" t="s">
        <v>284</v>
      </c>
    </row>
    <row r="4" spans="1:91">
      <c r="A4" s="3"/>
      <c r="B4" s="32" t="s">
        <v>285</v>
      </c>
      <c r="C4" s="150">
        <v>33495</v>
      </c>
      <c r="D4" s="47" t="s">
        <v>19</v>
      </c>
      <c r="E4" s="47">
        <v>174</v>
      </c>
      <c r="F4" s="47">
        <v>61</v>
      </c>
      <c r="G4" s="47">
        <v>82</v>
      </c>
      <c r="H4" s="47">
        <v>1.1060000000000001</v>
      </c>
      <c r="I4" s="151">
        <f t="shared" si="0"/>
        <v>20.147971991015986</v>
      </c>
      <c r="J4" s="43" t="s">
        <v>30</v>
      </c>
      <c r="K4" s="47">
        <f t="shared" si="1"/>
        <v>108.39985886296475</v>
      </c>
      <c r="L4" s="32" t="s">
        <v>285</v>
      </c>
      <c r="M4" s="32">
        <v>227</v>
      </c>
      <c r="N4" s="40">
        <v>10</v>
      </c>
      <c r="O4" s="30">
        <f t="shared" si="2"/>
        <v>5</v>
      </c>
      <c r="P4" s="32">
        <v>4</v>
      </c>
      <c r="Q4" s="40">
        <v>16</v>
      </c>
      <c r="R4" s="30">
        <f t="shared" si="3"/>
        <v>5</v>
      </c>
      <c r="S4" s="32">
        <v>9.3000000000000007</v>
      </c>
      <c r="T4" s="40">
        <v>14</v>
      </c>
      <c r="U4" s="30">
        <f t="shared" si="4"/>
        <v>5</v>
      </c>
      <c r="V4" s="32">
        <v>1680</v>
      </c>
      <c r="W4" s="40">
        <v>20</v>
      </c>
      <c r="X4" s="30">
        <f t="shared" si="5"/>
        <v>5</v>
      </c>
      <c r="Y4" s="40">
        <f t="shared" si="6"/>
        <v>60</v>
      </c>
      <c r="Z4" s="30">
        <f t="shared" si="7"/>
        <v>5</v>
      </c>
      <c r="AA4" s="223">
        <v>5</v>
      </c>
      <c r="AB4" s="32" t="s">
        <v>285</v>
      </c>
      <c r="AC4" s="32">
        <v>50</v>
      </c>
      <c r="AD4" s="40">
        <v>10</v>
      </c>
      <c r="AE4" s="30">
        <f t="shared" si="8"/>
        <v>5</v>
      </c>
      <c r="AF4" s="32">
        <v>10</v>
      </c>
      <c r="AG4" s="40">
        <v>8</v>
      </c>
      <c r="AH4" s="30">
        <f t="shared" si="9"/>
        <v>4</v>
      </c>
      <c r="AI4" s="32">
        <v>169</v>
      </c>
      <c r="AJ4" s="40">
        <v>19</v>
      </c>
      <c r="AK4" s="30">
        <f t="shared" si="10"/>
        <v>5</v>
      </c>
      <c r="AL4" s="32">
        <v>13</v>
      </c>
      <c r="AM4" s="40">
        <v>12</v>
      </c>
      <c r="AN4" s="30">
        <f t="shared" si="11"/>
        <v>5</v>
      </c>
      <c r="AO4" s="32">
        <v>14</v>
      </c>
      <c r="AP4" s="40">
        <v>14</v>
      </c>
      <c r="AQ4" s="30">
        <f t="shared" si="12"/>
        <v>5</v>
      </c>
      <c r="AR4" s="45">
        <v>10</v>
      </c>
      <c r="AS4" s="40">
        <v>10</v>
      </c>
      <c r="AT4" s="30">
        <f t="shared" si="13"/>
        <v>5</v>
      </c>
      <c r="AU4" s="40">
        <f t="shared" si="14"/>
        <v>73</v>
      </c>
      <c r="AV4" s="30">
        <f t="shared" si="15"/>
        <v>5</v>
      </c>
      <c r="AW4" s="40">
        <f t="shared" si="16"/>
        <v>133</v>
      </c>
      <c r="AX4" s="30">
        <f t="shared" si="17"/>
        <v>5</v>
      </c>
      <c r="AY4" s="41"/>
      <c r="AZ4" s="32" t="s">
        <v>285</v>
      </c>
      <c r="BA4" s="32">
        <v>11.47</v>
      </c>
      <c r="BB4" s="349">
        <v>10</v>
      </c>
      <c r="BC4" s="30">
        <v>5</v>
      </c>
      <c r="BD4" s="32">
        <v>17.47</v>
      </c>
      <c r="BE4" s="349">
        <v>5</v>
      </c>
      <c r="BF4" s="30">
        <v>4</v>
      </c>
      <c r="BG4" s="31">
        <v>17</v>
      </c>
      <c r="BH4" s="344">
        <v>17</v>
      </c>
      <c r="BI4" s="30">
        <f t="shared" si="18"/>
        <v>5</v>
      </c>
      <c r="BJ4" s="31">
        <v>20</v>
      </c>
      <c r="BK4" s="344">
        <v>20</v>
      </c>
      <c r="BL4" s="30">
        <f t="shared" si="19"/>
        <v>5</v>
      </c>
      <c r="BM4" s="31">
        <v>5</v>
      </c>
      <c r="BN4" s="344">
        <v>17</v>
      </c>
      <c r="BO4" s="30">
        <f t="shared" si="20"/>
        <v>5</v>
      </c>
      <c r="BP4" s="40">
        <f t="shared" si="21"/>
        <v>69</v>
      </c>
      <c r="BQ4" s="30">
        <f t="shared" si="22"/>
        <v>5</v>
      </c>
      <c r="BR4" s="40">
        <f t="shared" si="23"/>
        <v>202</v>
      </c>
      <c r="BS4" s="41"/>
      <c r="BT4" s="31">
        <v>13</v>
      </c>
      <c r="BU4" s="344">
        <v>20</v>
      </c>
      <c r="BV4" s="30">
        <f t="shared" si="24"/>
        <v>5</v>
      </c>
      <c r="BW4" s="31">
        <v>13</v>
      </c>
      <c r="BX4" s="344">
        <v>10</v>
      </c>
      <c r="BY4" s="30">
        <f t="shared" si="25"/>
        <v>5</v>
      </c>
      <c r="BZ4" s="31">
        <v>33</v>
      </c>
      <c r="CA4" s="344">
        <v>5</v>
      </c>
      <c r="CB4" s="30">
        <f t="shared" si="26"/>
        <v>4</v>
      </c>
      <c r="CC4" s="31">
        <v>30</v>
      </c>
      <c r="CD4" s="344">
        <v>7</v>
      </c>
      <c r="CE4" s="30">
        <f t="shared" si="27"/>
        <v>4</v>
      </c>
      <c r="CF4" s="40">
        <f t="shared" si="28"/>
        <v>42</v>
      </c>
      <c r="CG4" s="30">
        <f t="shared" si="29"/>
        <v>5</v>
      </c>
      <c r="CH4" s="40">
        <f t="shared" si="30"/>
        <v>111</v>
      </c>
      <c r="CI4" s="30">
        <f t="shared" si="31"/>
        <v>5</v>
      </c>
      <c r="CJ4" s="40">
        <f t="shared" si="32"/>
        <v>244</v>
      </c>
      <c r="CK4" s="30">
        <f t="shared" si="33"/>
        <v>5</v>
      </c>
      <c r="CL4" s="41"/>
      <c r="CM4" s="32" t="s">
        <v>285</v>
      </c>
    </row>
    <row r="5" spans="1:91">
      <c r="A5" s="3"/>
      <c r="B5" s="32" t="s">
        <v>286</v>
      </c>
      <c r="C5" s="150">
        <v>33635</v>
      </c>
      <c r="D5" s="47" t="s">
        <v>19</v>
      </c>
      <c r="E5" s="47">
        <v>187</v>
      </c>
      <c r="F5" s="47">
        <v>62</v>
      </c>
      <c r="G5" s="47">
        <v>78</v>
      </c>
      <c r="H5" s="47">
        <v>1.1339999999999999</v>
      </c>
      <c r="I5" s="151">
        <f t="shared" si="0"/>
        <v>17.72998941919986</v>
      </c>
      <c r="J5" s="43" t="s">
        <v>82</v>
      </c>
      <c r="K5" s="47">
        <f t="shared" si="1"/>
        <v>132.13381268936826</v>
      </c>
      <c r="L5" s="32" t="s">
        <v>286</v>
      </c>
      <c r="M5" s="32">
        <v>246</v>
      </c>
      <c r="N5" s="40">
        <v>17</v>
      </c>
      <c r="O5" s="30">
        <f t="shared" si="2"/>
        <v>5</v>
      </c>
      <c r="P5" s="32">
        <v>4.2</v>
      </c>
      <c r="Q5" s="40">
        <v>10</v>
      </c>
      <c r="R5" s="30">
        <f t="shared" si="3"/>
        <v>5</v>
      </c>
      <c r="S5" s="32">
        <v>9</v>
      </c>
      <c r="T5" s="40">
        <v>18</v>
      </c>
      <c r="U5" s="30">
        <f t="shared" si="4"/>
        <v>5</v>
      </c>
      <c r="V5" s="32">
        <v>1575</v>
      </c>
      <c r="W5" s="40">
        <v>14</v>
      </c>
      <c r="X5" s="30">
        <f t="shared" si="5"/>
        <v>5</v>
      </c>
      <c r="Y5" s="40">
        <f t="shared" si="6"/>
        <v>59</v>
      </c>
      <c r="Z5" s="30">
        <f t="shared" si="7"/>
        <v>5</v>
      </c>
      <c r="AA5" s="223">
        <v>5</v>
      </c>
      <c r="AB5" s="32" t="s">
        <v>286</v>
      </c>
      <c r="AC5" s="32">
        <v>50</v>
      </c>
      <c r="AD5" s="40">
        <v>10</v>
      </c>
      <c r="AE5" s="30">
        <f t="shared" si="8"/>
        <v>5</v>
      </c>
      <c r="AF5" s="32">
        <v>10</v>
      </c>
      <c r="AG5" s="40">
        <v>8</v>
      </c>
      <c r="AH5" s="30">
        <f t="shared" si="9"/>
        <v>4</v>
      </c>
      <c r="AI5" s="32">
        <v>155</v>
      </c>
      <c r="AJ5" s="40">
        <v>13</v>
      </c>
      <c r="AK5" s="30">
        <f t="shared" si="10"/>
        <v>5</v>
      </c>
      <c r="AL5" s="32">
        <v>13</v>
      </c>
      <c r="AM5" s="40">
        <v>12</v>
      </c>
      <c r="AN5" s="30">
        <f t="shared" si="11"/>
        <v>5</v>
      </c>
      <c r="AO5" s="32">
        <v>15</v>
      </c>
      <c r="AP5" s="40">
        <v>15</v>
      </c>
      <c r="AQ5" s="30">
        <f t="shared" si="12"/>
        <v>5</v>
      </c>
      <c r="AR5" s="45">
        <v>10</v>
      </c>
      <c r="AS5" s="40">
        <v>10</v>
      </c>
      <c r="AT5" s="30">
        <f t="shared" si="13"/>
        <v>5</v>
      </c>
      <c r="AU5" s="40">
        <f t="shared" si="14"/>
        <v>68</v>
      </c>
      <c r="AV5" s="30">
        <f t="shared" si="15"/>
        <v>5</v>
      </c>
      <c r="AW5" s="40">
        <f t="shared" si="16"/>
        <v>127</v>
      </c>
      <c r="AX5" s="30">
        <f t="shared" si="17"/>
        <v>5</v>
      </c>
      <c r="AY5" s="41"/>
      <c r="AZ5" s="32" t="s">
        <v>286</v>
      </c>
      <c r="BA5" s="32">
        <v>13.59</v>
      </c>
      <c r="BB5" s="349">
        <v>5</v>
      </c>
      <c r="BC5" s="30">
        <v>4</v>
      </c>
      <c r="BD5" s="32">
        <v>22.02</v>
      </c>
      <c r="BE5" s="349">
        <v>5</v>
      </c>
      <c r="BF5" s="30">
        <v>4</v>
      </c>
      <c r="BG5" s="31">
        <v>20</v>
      </c>
      <c r="BH5" s="344">
        <v>20</v>
      </c>
      <c r="BI5" s="30">
        <f t="shared" si="18"/>
        <v>5</v>
      </c>
      <c r="BJ5" s="31">
        <v>20</v>
      </c>
      <c r="BK5" s="344">
        <v>20</v>
      </c>
      <c r="BL5" s="30">
        <f t="shared" si="19"/>
        <v>5</v>
      </c>
      <c r="BM5" s="31">
        <v>5</v>
      </c>
      <c r="BN5" s="344">
        <v>17</v>
      </c>
      <c r="BO5" s="30">
        <f t="shared" si="20"/>
        <v>5</v>
      </c>
      <c r="BP5" s="40">
        <f t="shared" si="21"/>
        <v>67</v>
      </c>
      <c r="BQ5" s="30">
        <f t="shared" si="22"/>
        <v>5</v>
      </c>
      <c r="BR5" s="40">
        <f t="shared" si="23"/>
        <v>194</v>
      </c>
      <c r="BS5" s="41"/>
      <c r="BT5" s="31">
        <v>13.6</v>
      </c>
      <c r="BU5" s="344">
        <v>14</v>
      </c>
      <c r="BV5" s="30">
        <f t="shared" si="24"/>
        <v>5</v>
      </c>
      <c r="BW5" s="31">
        <v>14.48</v>
      </c>
      <c r="BX5" s="344">
        <v>5</v>
      </c>
      <c r="BY5" s="30">
        <f t="shared" si="25"/>
        <v>4</v>
      </c>
      <c r="BZ5" s="31">
        <v>30</v>
      </c>
      <c r="CA5" s="344">
        <v>3</v>
      </c>
      <c r="CB5" s="30">
        <f t="shared" si="26"/>
        <v>3</v>
      </c>
      <c r="CC5" s="31">
        <v>38</v>
      </c>
      <c r="CD5" s="344">
        <v>13</v>
      </c>
      <c r="CE5" s="30">
        <f t="shared" si="27"/>
        <v>5</v>
      </c>
      <c r="CF5" s="40">
        <f t="shared" si="28"/>
        <v>35</v>
      </c>
      <c r="CG5" s="30">
        <f t="shared" si="29"/>
        <v>5</v>
      </c>
      <c r="CH5" s="40">
        <f t="shared" si="30"/>
        <v>102</v>
      </c>
      <c r="CI5" s="30">
        <f t="shared" si="31"/>
        <v>5</v>
      </c>
      <c r="CJ5" s="40">
        <f t="shared" si="32"/>
        <v>229</v>
      </c>
      <c r="CK5" s="30">
        <f t="shared" si="33"/>
        <v>5</v>
      </c>
      <c r="CL5" s="41"/>
      <c r="CM5" s="32" t="s">
        <v>286</v>
      </c>
    </row>
    <row r="6" spans="1:91">
      <c r="A6" s="3"/>
      <c r="B6" s="32" t="s">
        <v>287</v>
      </c>
      <c r="C6" s="150">
        <v>33358</v>
      </c>
      <c r="D6" s="47" t="s">
        <v>19</v>
      </c>
      <c r="E6" s="47">
        <v>183</v>
      </c>
      <c r="F6" s="47">
        <v>62</v>
      </c>
      <c r="G6" s="47">
        <v>81</v>
      </c>
      <c r="H6" s="47">
        <v>1.1060000000000001</v>
      </c>
      <c r="I6" s="151">
        <f t="shared" si="0"/>
        <v>18.513541759980885</v>
      </c>
      <c r="J6" s="43" t="s">
        <v>82</v>
      </c>
      <c r="K6" s="47">
        <f t="shared" si="1"/>
        <v>123.58515839528496</v>
      </c>
      <c r="L6" s="32" t="s">
        <v>287</v>
      </c>
      <c r="M6" s="32">
        <v>218</v>
      </c>
      <c r="N6" s="40">
        <v>6</v>
      </c>
      <c r="O6" s="30">
        <f t="shared" si="2"/>
        <v>4</v>
      </c>
      <c r="P6" s="32">
        <v>4.0999999999999996</v>
      </c>
      <c r="Q6" s="40">
        <v>13</v>
      </c>
      <c r="R6" s="30">
        <f t="shared" si="3"/>
        <v>5</v>
      </c>
      <c r="S6" s="32">
        <v>9.1999999999999993</v>
      </c>
      <c r="T6" s="40">
        <v>16</v>
      </c>
      <c r="U6" s="30">
        <f t="shared" si="4"/>
        <v>5</v>
      </c>
      <c r="V6" s="45">
        <v>1680</v>
      </c>
      <c r="W6" s="66">
        <v>20</v>
      </c>
      <c r="X6" s="30">
        <f t="shared" si="5"/>
        <v>5</v>
      </c>
      <c r="Y6" s="40">
        <f t="shared" si="6"/>
        <v>55</v>
      </c>
      <c r="Z6" s="30">
        <f t="shared" si="7"/>
        <v>5</v>
      </c>
      <c r="AA6" s="41"/>
      <c r="AB6" s="32" t="s">
        <v>287</v>
      </c>
      <c r="AC6" s="45">
        <v>50</v>
      </c>
      <c r="AD6" s="66">
        <v>10</v>
      </c>
      <c r="AE6" s="30">
        <f t="shared" si="8"/>
        <v>5</v>
      </c>
      <c r="AF6" s="45">
        <v>-9</v>
      </c>
      <c r="AG6" s="66">
        <v>0</v>
      </c>
      <c r="AH6" s="30">
        <f t="shared" si="9"/>
        <v>2</v>
      </c>
      <c r="AI6" s="32">
        <v>151</v>
      </c>
      <c r="AJ6" s="40">
        <v>12</v>
      </c>
      <c r="AK6" s="30">
        <f t="shared" si="10"/>
        <v>5</v>
      </c>
      <c r="AL6" s="45">
        <v>10</v>
      </c>
      <c r="AM6" s="66">
        <v>5</v>
      </c>
      <c r="AN6" s="30">
        <f t="shared" si="11"/>
        <v>4</v>
      </c>
      <c r="AO6" s="45">
        <v>7</v>
      </c>
      <c r="AP6" s="66">
        <v>7</v>
      </c>
      <c r="AQ6" s="30">
        <f t="shared" si="12"/>
        <v>4</v>
      </c>
      <c r="AR6" s="45">
        <v>10</v>
      </c>
      <c r="AS6" s="66">
        <v>10</v>
      </c>
      <c r="AT6" s="30">
        <f t="shared" si="13"/>
        <v>5</v>
      </c>
      <c r="AU6" s="40">
        <f t="shared" si="14"/>
        <v>44</v>
      </c>
      <c r="AV6" s="30">
        <f t="shared" si="15"/>
        <v>4</v>
      </c>
      <c r="AW6" s="40">
        <f t="shared" si="16"/>
        <v>99</v>
      </c>
      <c r="AX6" s="30">
        <f t="shared" si="17"/>
        <v>5</v>
      </c>
      <c r="AY6" s="41"/>
      <c r="AZ6" s="32" t="s">
        <v>287</v>
      </c>
      <c r="BA6" s="32"/>
      <c r="BB6" s="349">
        <v>5</v>
      </c>
      <c r="BC6" s="30">
        <v>4</v>
      </c>
      <c r="BD6" s="32"/>
      <c r="BE6" s="349">
        <v>5</v>
      </c>
      <c r="BF6" s="30">
        <v>4</v>
      </c>
      <c r="BG6" s="31">
        <v>20</v>
      </c>
      <c r="BH6" s="344">
        <v>20</v>
      </c>
      <c r="BI6" s="30">
        <f t="shared" si="18"/>
        <v>5</v>
      </c>
      <c r="BJ6" s="31">
        <v>11</v>
      </c>
      <c r="BK6" s="344">
        <v>11</v>
      </c>
      <c r="BL6" s="30">
        <f t="shared" si="19"/>
        <v>5</v>
      </c>
      <c r="BM6" s="31">
        <v>6</v>
      </c>
      <c r="BN6" s="344">
        <v>20</v>
      </c>
      <c r="BO6" s="30">
        <f t="shared" si="20"/>
        <v>5</v>
      </c>
      <c r="BP6" s="40">
        <f t="shared" si="21"/>
        <v>61</v>
      </c>
      <c r="BQ6" s="30">
        <f t="shared" si="22"/>
        <v>5</v>
      </c>
      <c r="BR6" s="40">
        <f t="shared" si="23"/>
        <v>160</v>
      </c>
      <c r="BS6" s="41"/>
      <c r="BT6" s="31">
        <v>12.9</v>
      </c>
      <c r="BU6" s="344">
        <v>20</v>
      </c>
      <c r="BV6" s="30">
        <f t="shared" si="24"/>
        <v>5</v>
      </c>
      <c r="BW6" s="31">
        <v>12.58</v>
      </c>
      <c r="BX6" s="344">
        <v>10</v>
      </c>
      <c r="BY6" s="30">
        <f t="shared" si="25"/>
        <v>5</v>
      </c>
      <c r="BZ6" s="31">
        <v>34</v>
      </c>
      <c r="CA6" s="344">
        <v>6</v>
      </c>
      <c r="CB6" s="30">
        <f t="shared" si="26"/>
        <v>4</v>
      </c>
      <c r="CC6" s="31">
        <v>45</v>
      </c>
      <c r="CD6" s="344">
        <v>20</v>
      </c>
      <c r="CE6" s="30">
        <f t="shared" si="27"/>
        <v>5</v>
      </c>
      <c r="CF6" s="40">
        <f t="shared" si="28"/>
        <v>56</v>
      </c>
      <c r="CG6" s="30">
        <f t="shared" si="29"/>
        <v>5</v>
      </c>
      <c r="CH6" s="40">
        <f t="shared" si="30"/>
        <v>117</v>
      </c>
      <c r="CI6" s="30">
        <f t="shared" si="31"/>
        <v>5</v>
      </c>
      <c r="CJ6" s="40">
        <f t="shared" si="32"/>
        <v>216</v>
      </c>
      <c r="CK6" s="30">
        <f t="shared" si="33"/>
        <v>5</v>
      </c>
      <c r="CL6" s="41"/>
      <c r="CM6" s="32" t="s">
        <v>287</v>
      </c>
    </row>
    <row r="7" spans="1:91">
      <c r="A7" s="3"/>
      <c r="B7" s="32" t="s">
        <v>288</v>
      </c>
      <c r="C7" s="150">
        <v>33190</v>
      </c>
      <c r="D7" s="47" t="s">
        <v>209</v>
      </c>
      <c r="E7" s="47">
        <v>171</v>
      </c>
      <c r="F7" s="47">
        <v>68</v>
      </c>
      <c r="G7" s="47">
        <v>84</v>
      </c>
      <c r="H7" s="47">
        <v>1.1060000000000001</v>
      </c>
      <c r="I7" s="151">
        <f t="shared" si="0"/>
        <v>23.255018638213471</v>
      </c>
      <c r="J7" s="43" t="s">
        <v>24</v>
      </c>
      <c r="K7" s="47">
        <f t="shared" si="1"/>
        <v>94.791397571686886</v>
      </c>
      <c r="L7" s="32" t="s">
        <v>288</v>
      </c>
      <c r="M7" s="32">
        <v>200</v>
      </c>
      <c r="N7" s="40">
        <v>1</v>
      </c>
      <c r="O7" s="30">
        <f t="shared" si="2"/>
        <v>3</v>
      </c>
      <c r="P7" s="32">
        <v>4</v>
      </c>
      <c r="Q7" s="40">
        <v>16</v>
      </c>
      <c r="R7" s="30">
        <f t="shared" si="3"/>
        <v>5</v>
      </c>
      <c r="S7" s="32">
        <v>9</v>
      </c>
      <c r="T7" s="40">
        <v>18</v>
      </c>
      <c r="U7" s="30">
        <f t="shared" si="4"/>
        <v>5</v>
      </c>
      <c r="V7" s="32">
        <v>1630</v>
      </c>
      <c r="W7" s="40">
        <v>20</v>
      </c>
      <c r="X7" s="30">
        <f t="shared" si="5"/>
        <v>5</v>
      </c>
      <c r="Y7" s="40">
        <f t="shared" si="6"/>
        <v>55</v>
      </c>
      <c r="Z7" s="30">
        <f t="shared" si="7"/>
        <v>5</v>
      </c>
      <c r="AA7" s="41"/>
      <c r="AB7" s="32" t="s">
        <v>288</v>
      </c>
      <c r="AC7" s="32">
        <v>56</v>
      </c>
      <c r="AD7" s="40">
        <v>16</v>
      </c>
      <c r="AE7" s="30">
        <f t="shared" si="8"/>
        <v>5</v>
      </c>
      <c r="AF7" s="32">
        <v>14</v>
      </c>
      <c r="AG7" s="40">
        <v>16</v>
      </c>
      <c r="AH7" s="30">
        <f t="shared" si="9"/>
        <v>5</v>
      </c>
      <c r="AI7" s="32">
        <v>152</v>
      </c>
      <c r="AJ7" s="40">
        <v>12</v>
      </c>
      <c r="AK7" s="30">
        <f t="shared" si="10"/>
        <v>5</v>
      </c>
      <c r="AL7" s="32">
        <v>5</v>
      </c>
      <c r="AM7" s="40">
        <v>0</v>
      </c>
      <c r="AN7" s="30">
        <f t="shared" si="11"/>
        <v>2</v>
      </c>
      <c r="AO7" s="32">
        <v>9</v>
      </c>
      <c r="AP7" s="40">
        <v>9</v>
      </c>
      <c r="AQ7" s="30">
        <f t="shared" si="12"/>
        <v>4</v>
      </c>
      <c r="AR7" s="45"/>
      <c r="AS7" s="40"/>
      <c r="AT7" s="30" t="str">
        <f t="shared" si="13"/>
        <v/>
      </c>
      <c r="AU7" s="40">
        <f t="shared" si="14"/>
        <v>53</v>
      </c>
      <c r="AV7" s="30">
        <f t="shared" si="15"/>
        <v>5</v>
      </c>
      <c r="AW7" s="40">
        <f t="shared" si="16"/>
        <v>108</v>
      </c>
      <c r="AX7" s="30">
        <f t="shared" si="17"/>
        <v>5</v>
      </c>
      <c r="AY7" s="41"/>
      <c r="AZ7" s="32" t="s">
        <v>288</v>
      </c>
      <c r="BA7" s="32">
        <v>13.39</v>
      </c>
      <c r="BB7" s="349">
        <v>5</v>
      </c>
      <c r="BC7" s="30">
        <v>4</v>
      </c>
      <c r="BD7" s="32">
        <v>20.47</v>
      </c>
      <c r="BE7" s="349">
        <v>5</v>
      </c>
      <c r="BF7" s="30">
        <v>4</v>
      </c>
      <c r="BG7" s="31">
        <v>20</v>
      </c>
      <c r="BH7" s="344">
        <v>20</v>
      </c>
      <c r="BI7" s="30">
        <f t="shared" si="18"/>
        <v>5</v>
      </c>
      <c r="BJ7" s="31">
        <v>20</v>
      </c>
      <c r="BK7" s="344">
        <v>20</v>
      </c>
      <c r="BL7" s="30">
        <f t="shared" si="19"/>
        <v>5</v>
      </c>
      <c r="BM7" s="31">
        <v>6</v>
      </c>
      <c r="BN7" s="344">
        <v>20</v>
      </c>
      <c r="BO7" s="30">
        <f t="shared" si="20"/>
        <v>5</v>
      </c>
      <c r="BP7" s="40">
        <f t="shared" si="21"/>
        <v>70</v>
      </c>
      <c r="BQ7" s="30">
        <f t="shared" si="22"/>
        <v>5</v>
      </c>
      <c r="BR7" s="40">
        <f t="shared" si="23"/>
        <v>178</v>
      </c>
      <c r="BS7" s="41"/>
      <c r="BT7" s="31">
        <v>13.6</v>
      </c>
      <c r="BU7" s="344">
        <v>14</v>
      </c>
      <c r="BV7" s="30">
        <f t="shared" si="24"/>
        <v>5</v>
      </c>
      <c r="BW7" s="31">
        <v>13.45</v>
      </c>
      <c r="BX7" s="344">
        <v>8</v>
      </c>
      <c r="BY7" s="30">
        <f t="shared" si="25"/>
        <v>4</v>
      </c>
      <c r="BZ7" s="31">
        <v>37</v>
      </c>
      <c r="CA7" s="344">
        <v>9</v>
      </c>
      <c r="CB7" s="30">
        <f t="shared" si="26"/>
        <v>4</v>
      </c>
      <c r="CC7" s="31">
        <v>27</v>
      </c>
      <c r="CD7" s="344">
        <v>6</v>
      </c>
      <c r="CE7" s="30">
        <f t="shared" si="27"/>
        <v>4</v>
      </c>
      <c r="CF7" s="40">
        <f t="shared" si="28"/>
        <v>37</v>
      </c>
      <c r="CG7" s="30">
        <f t="shared" si="29"/>
        <v>5</v>
      </c>
      <c r="CH7" s="40">
        <f t="shared" si="30"/>
        <v>107</v>
      </c>
      <c r="CI7" s="30">
        <f t="shared" si="31"/>
        <v>5</v>
      </c>
      <c r="CJ7" s="40">
        <f t="shared" si="32"/>
        <v>215</v>
      </c>
      <c r="CK7" s="30">
        <f t="shared" si="33"/>
        <v>5</v>
      </c>
      <c r="CL7" s="41"/>
      <c r="CM7" s="32" t="s">
        <v>288</v>
      </c>
    </row>
    <row r="8" spans="1:91">
      <c r="A8" s="3"/>
      <c r="B8" s="32" t="s">
        <v>289</v>
      </c>
      <c r="C8" s="150">
        <v>33533</v>
      </c>
      <c r="D8" s="47" t="s">
        <v>19</v>
      </c>
      <c r="E8" s="47">
        <v>163</v>
      </c>
      <c r="F8" s="47">
        <v>47</v>
      </c>
      <c r="G8" s="47">
        <v>70</v>
      </c>
      <c r="H8" s="47">
        <v>1.1060000000000001</v>
      </c>
      <c r="I8" s="151">
        <f t="shared" si="0"/>
        <v>17.689788851669238</v>
      </c>
      <c r="J8" s="43" t="s">
        <v>82</v>
      </c>
      <c r="K8" s="47">
        <f t="shared" si="1"/>
        <v>122.11314905709119</v>
      </c>
      <c r="L8" s="32" t="s">
        <v>289</v>
      </c>
      <c r="M8" s="32">
        <v>181</v>
      </c>
      <c r="N8" s="40">
        <v>0</v>
      </c>
      <c r="O8" s="30">
        <f t="shared" si="2"/>
        <v>2</v>
      </c>
      <c r="P8" s="32">
        <v>4.5999999999999996</v>
      </c>
      <c r="Q8" s="40">
        <v>6</v>
      </c>
      <c r="R8" s="30">
        <f t="shared" si="3"/>
        <v>4</v>
      </c>
      <c r="S8" s="32">
        <v>9.6999999999999993</v>
      </c>
      <c r="T8" s="40">
        <v>5</v>
      </c>
      <c r="U8" s="30">
        <f t="shared" si="4"/>
        <v>4</v>
      </c>
      <c r="V8" s="32">
        <v>1650</v>
      </c>
      <c r="W8" s="40">
        <v>20</v>
      </c>
      <c r="X8" s="30">
        <f t="shared" si="5"/>
        <v>5</v>
      </c>
      <c r="Y8" s="40">
        <f t="shared" si="6"/>
        <v>31</v>
      </c>
      <c r="Z8" s="30">
        <f t="shared" si="7"/>
        <v>5</v>
      </c>
      <c r="AA8" s="41"/>
      <c r="AB8" s="32" t="s">
        <v>289</v>
      </c>
      <c r="AC8" s="32">
        <v>46</v>
      </c>
      <c r="AD8" s="40">
        <v>6</v>
      </c>
      <c r="AE8" s="30">
        <f t="shared" si="8"/>
        <v>4</v>
      </c>
      <c r="AF8" s="32">
        <v>9</v>
      </c>
      <c r="AG8" s="40">
        <v>5</v>
      </c>
      <c r="AH8" s="30">
        <f t="shared" si="9"/>
        <v>4</v>
      </c>
      <c r="AI8" s="32">
        <v>163</v>
      </c>
      <c r="AJ8" s="40">
        <v>16</v>
      </c>
      <c r="AK8" s="30">
        <f t="shared" si="10"/>
        <v>5</v>
      </c>
      <c r="AL8" s="32">
        <v>5</v>
      </c>
      <c r="AM8" s="40">
        <v>0</v>
      </c>
      <c r="AN8" s="30">
        <f t="shared" si="11"/>
        <v>2</v>
      </c>
      <c r="AO8" s="32">
        <v>11</v>
      </c>
      <c r="AP8" s="40">
        <v>11</v>
      </c>
      <c r="AQ8" s="30">
        <f t="shared" si="12"/>
        <v>5</v>
      </c>
      <c r="AR8" s="45"/>
      <c r="AS8" s="40"/>
      <c r="AT8" s="30" t="str">
        <f t="shared" si="13"/>
        <v/>
      </c>
      <c r="AU8" s="40">
        <f t="shared" si="14"/>
        <v>38</v>
      </c>
      <c r="AV8" s="30">
        <f t="shared" si="15"/>
        <v>4</v>
      </c>
      <c r="AW8" s="40">
        <f t="shared" si="16"/>
        <v>69</v>
      </c>
      <c r="AX8" s="30">
        <f t="shared" si="17"/>
        <v>4</v>
      </c>
      <c r="AY8" s="41"/>
      <c r="AZ8" s="32" t="s">
        <v>289</v>
      </c>
      <c r="BA8" s="32">
        <v>11.450000000000001</v>
      </c>
      <c r="BB8" s="349">
        <v>10</v>
      </c>
      <c r="BC8" s="30">
        <v>5</v>
      </c>
      <c r="BD8" s="32">
        <v>17.510000000000002</v>
      </c>
      <c r="BE8" s="349">
        <v>5</v>
      </c>
      <c r="BF8" s="30">
        <v>4</v>
      </c>
      <c r="BG8" s="31">
        <v>7</v>
      </c>
      <c r="BH8" s="344">
        <v>3</v>
      </c>
      <c r="BI8" s="30">
        <f t="shared" si="18"/>
        <v>3</v>
      </c>
      <c r="BJ8" s="31">
        <v>6</v>
      </c>
      <c r="BK8" s="344">
        <v>1</v>
      </c>
      <c r="BL8" s="30">
        <f t="shared" si="19"/>
        <v>3</v>
      </c>
      <c r="BM8" s="31">
        <v>5</v>
      </c>
      <c r="BN8" s="344">
        <v>17</v>
      </c>
      <c r="BO8" s="30">
        <f t="shared" si="20"/>
        <v>5</v>
      </c>
      <c r="BP8" s="40">
        <f t="shared" si="21"/>
        <v>36</v>
      </c>
      <c r="BQ8" s="30">
        <f t="shared" si="22"/>
        <v>4</v>
      </c>
      <c r="BR8" s="40">
        <f t="shared" si="23"/>
        <v>105</v>
      </c>
      <c r="BS8" s="41"/>
      <c r="BT8" s="31">
        <v>14.8</v>
      </c>
      <c r="BU8" s="344">
        <v>2</v>
      </c>
      <c r="BV8" s="30">
        <f t="shared" si="24"/>
        <v>3</v>
      </c>
      <c r="BW8" s="31">
        <v>13.57</v>
      </c>
      <c r="BX8" s="344">
        <v>7</v>
      </c>
      <c r="BY8" s="30">
        <f t="shared" si="25"/>
        <v>4</v>
      </c>
      <c r="BZ8" s="31">
        <v>23</v>
      </c>
      <c r="CA8" s="344">
        <v>0</v>
      </c>
      <c r="CB8" s="30">
        <f t="shared" si="26"/>
        <v>2</v>
      </c>
      <c r="CC8" s="31">
        <v>35</v>
      </c>
      <c r="CD8" s="344">
        <v>10</v>
      </c>
      <c r="CE8" s="30">
        <f t="shared" si="27"/>
        <v>5</v>
      </c>
      <c r="CF8" s="40">
        <f t="shared" si="28"/>
        <v>19</v>
      </c>
      <c r="CG8" s="30">
        <f t="shared" si="29"/>
        <v>4</v>
      </c>
      <c r="CH8" s="40">
        <f t="shared" si="30"/>
        <v>55</v>
      </c>
      <c r="CI8" s="30">
        <f t="shared" si="31"/>
        <v>4</v>
      </c>
      <c r="CJ8" s="40">
        <f t="shared" si="32"/>
        <v>124</v>
      </c>
      <c r="CK8" s="30">
        <f t="shared" si="33"/>
        <v>4</v>
      </c>
      <c r="CL8" s="41"/>
      <c r="CM8" s="32" t="s">
        <v>289</v>
      </c>
    </row>
    <row r="9" spans="1:91">
      <c r="A9" s="3"/>
      <c r="B9" s="32" t="s">
        <v>290</v>
      </c>
      <c r="C9" s="150">
        <v>33506</v>
      </c>
      <c r="D9" s="47" t="s">
        <v>209</v>
      </c>
      <c r="E9" s="47">
        <v>185</v>
      </c>
      <c r="F9" s="47">
        <v>65</v>
      </c>
      <c r="G9" s="47">
        <v>81</v>
      </c>
      <c r="H9" s="47">
        <v>1.1060000000000001</v>
      </c>
      <c r="I9" s="151">
        <f t="shared" si="0"/>
        <v>18.991964937910883</v>
      </c>
      <c r="J9" s="43" t="s">
        <v>82</v>
      </c>
      <c r="K9" s="47">
        <f t="shared" si="1"/>
        <v>123.90328846025047</v>
      </c>
      <c r="L9" s="32" t="s">
        <v>290</v>
      </c>
      <c r="M9" s="32">
        <v>227</v>
      </c>
      <c r="N9" s="40">
        <v>10</v>
      </c>
      <c r="O9" s="30">
        <f t="shared" si="2"/>
        <v>5</v>
      </c>
      <c r="P9" s="32">
        <v>4.2</v>
      </c>
      <c r="Q9" s="40">
        <v>10</v>
      </c>
      <c r="R9" s="30">
        <f t="shared" si="3"/>
        <v>5</v>
      </c>
      <c r="S9" s="32">
        <v>9.6999999999999993</v>
      </c>
      <c r="T9" s="40">
        <v>5</v>
      </c>
      <c r="U9" s="30">
        <f t="shared" si="4"/>
        <v>4</v>
      </c>
      <c r="V9" s="32">
        <v>1400</v>
      </c>
      <c r="W9" s="40">
        <v>3</v>
      </c>
      <c r="X9" s="30">
        <f t="shared" si="5"/>
        <v>3</v>
      </c>
      <c r="Y9" s="40">
        <f t="shared" si="6"/>
        <v>28</v>
      </c>
      <c r="Z9" s="30">
        <f t="shared" si="7"/>
        <v>4</v>
      </c>
      <c r="AA9" s="41"/>
      <c r="AB9" s="32" t="s">
        <v>290</v>
      </c>
      <c r="AC9" s="32">
        <v>42</v>
      </c>
      <c r="AD9" s="40">
        <v>4</v>
      </c>
      <c r="AE9" s="30">
        <f t="shared" si="8"/>
        <v>3</v>
      </c>
      <c r="AF9" s="32">
        <v>8</v>
      </c>
      <c r="AG9" s="40">
        <v>4</v>
      </c>
      <c r="AH9" s="30">
        <f t="shared" si="9"/>
        <v>3</v>
      </c>
      <c r="AI9" s="32">
        <v>144</v>
      </c>
      <c r="AJ9" s="40">
        <v>9</v>
      </c>
      <c r="AK9" s="30">
        <f t="shared" si="10"/>
        <v>4</v>
      </c>
      <c r="AL9" s="32">
        <v>8</v>
      </c>
      <c r="AM9" s="40">
        <v>1</v>
      </c>
      <c r="AN9" s="30">
        <f t="shared" si="11"/>
        <v>3</v>
      </c>
      <c r="AO9" s="32">
        <v>9</v>
      </c>
      <c r="AP9" s="40">
        <v>9</v>
      </c>
      <c r="AQ9" s="30">
        <f t="shared" si="12"/>
        <v>4</v>
      </c>
      <c r="AR9" s="45">
        <v>6</v>
      </c>
      <c r="AS9" s="40">
        <v>6</v>
      </c>
      <c r="AT9" s="30">
        <f t="shared" si="13"/>
        <v>4</v>
      </c>
      <c r="AU9" s="40">
        <f t="shared" si="14"/>
        <v>33</v>
      </c>
      <c r="AV9" s="30">
        <f t="shared" si="15"/>
        <v>4</v>
      </c>
      <c r="AW9" s="40">
        <f t="shared" si="16"/>
        <v>61</v>
      </c>
      <c r="AX9" s="30">
        <f t="shared" si="17"/>
        <v>4</v>
      </c>
      <c r="AY9" s="41"/>
      <c r="AZ9" s="32" t="s">
        <v>290</v>
      </c>
      <c r="BA9" s="32">
        <v>19.11</v>
      </c>
      <c r="BB9" s="349">
        <v>1</v>
      </c>
      <c r="BC9" s="30">
        <v>3</v>
      </c>
      <c r="BD9" s="32">
        <v>28.51</v>
      </c>
      <c r="BE9" s="349">
        <v>1</v>
      </c>
      <c r="BF9" s="30">
        <v>4</v>
      </c>
      <c r="BG9" s="31">
        <v>7</v>
      </c>
      <c r="BH9" s="344">
        <v>3</v>
      </c>
      <c r="BI9" s="30">
        <f t="shared" si="18"/>
        <v>3</v>
      </c>
      <c r="BJ9" s="31">
        <v>7</v>
      </c>
      <c r="BK9" s="344">
        <v>3</v>
      </c>
      <c r="BL9" s="30">
        <f t="shared" si="19"/>
        <v>3</v>
      </c>
      <c r="BM9" s="31">
        <v>5</v>
      </c>
      <c r="BN9" s="344">
        <v>17</v>
      </c>
      <c r="BO9" s="30">
        <f t="shared" si="20"/>
        <v>5</v>
      </c>
      <c r="BP9" s="40">
        <f t="shared" si="21"/>
        <v>25</v>
      </c>
      <c r="BQ9" s="30">
        <f t="shared" si="22"/>
        <v>4</v>
      </c>
      <c r="BR9" s="40">
        <f t="shared" si="23"/>
        <v>86</v>
      </c>
      <c r="BS9" s="41"/>
      <c r="BT9" s="31">
        <v>14.2</v>
      </c>
      <c r="BU9" s="344">
        <v>10</v>
      </c>
      <c r="BV9" s="30">
        <f t="shared" si="24"/>
        <v>5</v>
      </c>
      <c r="BW9" s="31">
        <v>17</v>
      </c>
      <c r="BX9" s="344">
        <v>0</v>
      </c>
      <c r="BY9" s="30">
        <f t="shared" si="25"/>
        <v>2</v>
      </c>
      <c r="BZ9" s="31">
        <v>34</v>
      </c>
      <c r="CA9" s="344">
        <v>6</v>
      </c>
      <c r="CB9" s="30">
        <f t="shared" si="26"/>
        <v>4</v>
      </c>
      <c r="CC9" s="31">
        <v>22</v>
      </c>
      <c r="CD9" s="344">
        <v>3</v>
      </c>
      <c r="CE9" s="30">
        <f t="shared" si="27"/>
        <v>3</v>
      </c>
      <c r="CF9" s="40">
        <f t="shared" si="28"/>
        <v>19</v>
      </c>
      <c r="CG9" s="30">
        <f t="shared" si="29"/>
        <v>4</v>
      </c>
      <c r="CH9" s="40">
        <f t="shared" si="30"/>
        <v>44</v>
      </c>
      <c r="CI9" s="30">
        <f t="shared" si="31"/>
        <v>4</v>
      </c>
      <c r="CJ9" s="40">
        <f t="shared" si="32"/>
        <v>105</v>
      </c>
      <c r="CK9" s="30">
        <f t="shared" si="33"/>
        <v>4</v>
      </c>
      <c r="CL9" s="41"/>
      <c r="CM9" s="32" t="s">
        <v>290</v>
      </c>
    </row>
    <row r="10" spans="1:91">
      <c r="A10" s="3"/>
      <c r="B10" s="34" t="s">
        <v>291</v>
      </c>
      <c r="C10" s="150">
        <v>33647</v>
      </c>
      <c r="D10" s="47" t="s">
        <v>19</v>
      </c>
      <c r="E10" s="47">
        <v>170</v>
      </c>
      <c r="F10" s="47">
        <v>59</v>
      </c>
      <c r="G10" s="47">
        <v>80</v>
      </c>
      <c r="H10" s="47">
        <v>1.1339999999999999</v>
      </c>
      <c r="I10" s="151">
        <f t="shared" si="0"/>
        <v>20.415224913494811</v>
      </c>
      <c r="J10" s="43" t="s">
        <v>30</v>
      </c>
      <c r="K10" s="47">
        <f t="shared" si="1"/>
        <v>104.00132275132275</v>
      </c>
      <c r="L10" s="34" t="s">
        <v>291</v>
      </c>
      <c r="M10" s="32">
        <v>179</v>
      </c>
      <c r="N10" s="40">
        <v>0</v>
      </c>
      <c r="O10" s="30">
        <f t="shared" si="2"/>
        <v>2</v>
      </c>
      <c r="P10" s="32">
        <v>4.4000000000000004</v>
      </c>
      <c r="Q10" s="40">
        <v>8</v>
      </c>
      <c r="R10" s="30">
        <f t="shared" si="3"/>
        <v>4</v>
      </c>
      <c r="S10" s="32">
        <v>10.199999999999999</v>
      </c>
      <c r="T10" s="40">
        <v>0</v>
      </c>
      <c r="U10" s="30">
        <f t="shared" si="4"/>
        <v>2</v>
      </c>
      <c r="V10" s="32"/>
      <c r="W10" s="40"/>
      <c r="X10" s="30" t="str">
        <f t="shared" si="5"/>
        <v/>
      </c>
      <c r="Y10" s="40">
        <f t="shared" si="6"/>
        <v>8</v>
      </c>
      <c r="Z10" s="30">
        <f t="shared" si="7"/>
        <v>3</v>
      </c>
      <c r="AA10" s="41"/>
      <c r="AB10" s="34" t="s">
        <v>291</v>
      </c>
      <c r="AC10" s="32">
        <v>21</v>
      </c>
      <c r="AD10" s="40">
        <v>0</v>
      </c>
      <c r="AE10" s="30">
        <f t="shared" si="8"/>
        <v>2</v>
      </c>
      <c r="AF10" s="32">
        <v>-30</v>
      </c>
      <c r="AG10" s="40">
        <v>0</v>
      </c>
      <c r="AH10" s="30">
        <f t="shared" si="9"/>
        <v>2</v>
      </c>
      <c r="AI10" s="32">
        <v>105</v>
      </c>
      <c r="AJ10" s="40">
        <v>0</v>
      </c>
      <c r="AK10" s="30">
        <f t="shared" si="10"/>
        <v>2</v>
      </c>
      <c r="AL10" s="32">
        <v>-1</v>
      </c>
      <c r="AM10" s="40">
        <v>0</v>
      </c>
      <c r="AN10" s="30">
        <f t="shared" si="11"/>
        <v>2</v>
      </c>
      <c r="AO10" s="32">
        <v>4</v>
      </c>
      <c r="AP10" s="40">
        <v>4</v>
      </c>
      <c r="AQ10" s="30">
        <f t="shared" si="12"/>
        <v>3</v>
      </c>
      <c r="AR10" s="45"/>
      <c r="AS10" s="40"/>
      <c r="AT10" s="30" t="str">
        <f t="shared" si="13"/>
        <v/>
      </c>
      <c r="AU10" s="40">
        <f t="shared" si="14"/>
        <v>4</v>
      </c>
      <c r="AV10" s="30">
        <f t="shared" si="15"/>
        <v>2</v>
      </c>
      <c r="AW10" s="40">
        <f t="shared" si="16"/>
        <v>12</v>
      </c>
      <c r="AX10" s="30">
        <f t="shared" si="17"/>
        <v>3</v>
      </c>
      <c r="AY10" s="41"/>
      <c r="AZ10" s="34" t="s">
        <v>291</v>
      </c>
      <c r="BA10" s="32"/>
      <c r="BB10" s="349"/>
      <c r="BC10" s="30" t="str">
        <f>IF(BA10=0,"",IF(BA10&gt;12,2,IF(AND(BA10&lt;=12,BA10&gt;11),3,IF(AND(BA10&lt;=11,BA10&gt;10),4,IF(AND(BA10&lt;=10),5)))))</f>
        <v/>
      </c>
      <c r="BD10" s="32"/>
      <c r="BE10" s="349"/>
      <c r="BF10" s="30" t="str">
        <f>IF(BD10=0,"",IF(BD10&gt;17,2,IF(AND(BD10&lt;=17,BD10&gt;16),3,IF(AND(BD10&lt;=16,BD10&gt;15),4,IF(AND(BD10&lt;=15),5)))))</f>
        <v/>
      </c>
      <c r="BG10" s="31">
        <v>7</v>
      </c>
      <c r="BH10" s="344">
        <v>3</v>
      </c>
      <c r="BI10" s="30">
        <f t="shared" si="18"/>
        <v>3</v>
      </c>
      <c r="BJ10" s="31">
        <v>7</v>
      </c>
      <c r="BK10" s="344">
        <v>3</v>
      </c>
      <c r="BL10" s="30">
        <f t="shared" si="19"/>
        <v>3</v>
      </c>
      <c r="BM10" s="31">
        <v>3</v>
      </c>
      <c r="BN10" s="344">
        <v>10</v>
      </c>
      <c r="BO10" s="30">
        <f t="shared" si="20"/>
        <v>5</v>
      </c>
      <c r="BP10" s="40">
        <f t="shared" si="21"/>
        <v>16</v>
      </c>
      <c r="BQ10" s="30">
        <f t="shared" si="22"/>
        <v>3</v>
      </c>
      <c r="BR10" s="40">
        <f t="shared" si="23"/>
        <v>28</v>
      </c>
      <c r="BS10" s="41"/>
      <c r="BT10" s="31">
        <v>15</v>
      </c>
      <c r="BU10" s="344">
        <v>1</v>
      </c>
      <c r="BV10" s="30">
        <f t="shared" si="24"/>
        <v>3</v>
      </c>
      <c r="BW10" s="31">
        <v>17</v>
      </c>
      <c r="BX10" s="344">
        <v>0</v>
      </c>
      <c r="BY10" s="30">
        <f t="shared" si="25"/>
        <v>2</v>
      </c>
      <c r="BZ10" s="31">
        <v>18</v>
      </c>
      <c r="CA10" s="344">
        <v>0</v>
      </c>
      <c r="CB10" s="30">
        <f t="shared" si="26"/>
        <v>2</v>
      </c>
      <c r="CC10" s="31">
        <v>25</v>
      </c>
      <c r="CD10" s="344">
        <v>5</v>
      </c>
      <c r="CE10" s="30">
        <f t="shared" si="27"/>
        <v>4</v>
      </c>
      <c r="CF10" s="40">
        <f t="shared" si="28"/>
        <v>6</v>
      </c>
      <c r="CG10" s="30">
        <f t="shared" si="29"/>
        <v>3</v>
      </c>
      <c r="CH10" s="40">
        <f t="shared" si="30"/>
        <v>22</v>
      </c>
      <c r="CI10" s="30">
        <f t="shared" si="31"/>
        <v>3</v>
      </c>
      <c r="CJ10" s="40">
        <f t="shared" si="32"/>
        <v>34</v>
      </c>
      <c r="CK10" s="30">
        <f t="shared" si="33"/>
        <v>3</v>
      </c>
      <c r="CL10" s="41"/>
      <c r="CM10" s="34" t="s">
        <v>291</v>
      </c>
    </row>
    <row r="11" spans="1:91">
      <c r="A11" s="8"/>
      <c r="B11" s="152"/>
      <c r="C11" s="153"/>
      <c r="D11" s="153"/>
      <c r="E11" s="153"/>
      <c r="F11" s="153"/>
      <c r="G11" s="153"/>
      <c r="H11" s="153"/>
      <c r="I11" s="153"/>
      <c r="J11" s="153"/>
      <c r="K11" s="192"/>
      <c r="L11" s="152"/>
      <c r="M11" s="51"/>
      <c r="N11" s="55"/>
      <c r="O11" s="52"/>
      <c r="P11" s="51"/>
      <c r="Q11" s="55"/>
      <c r="R11" s="52"/>
      <c r="S11" s="51"/>
      <c r="T11" s="55"/>
      <c r="U11" s="52"/>
      <c r="V11" s="51"/>
      <c r="W11" s="55"/>
      <c r="X11" s="52"/>
      <c r="Y11" s="55"/>
      <c r="Z11" s="52"/>
      <c r="AA11" s="185"/>
      <c r="AB11" s="152"/>
      <c r="AC11" s="154"/>
      <c r="AD11" s="186"/>
      <c r="AE11" s="185"/>
      <c r="AF11" s="154"/>
      <c r="AG11" s="186"/>
      <c r="AH11" s="185"/>
      <c r="AI11" s="154"/>
      <c r="AJ11" s="186"/>
      <c r="AK11" s="185"/>
      <c r="AL11" s="154"/>
      <c r="AM11" s="186"/>
      <c r="AN11" s="185"/>
      <c r="AO11" s="154"/>
      <c r="AP11" s="186"/>
      <c r="AQ11" s="185"/>
      <c r="AR11" s="154"/>
      <c r="AS11" s="186"/>
      <c r="AT11" s="185"/>
      <c r="AU11" s="186"/>
      <c r="AV11" s="185"/>
      <c r="AW11" s="186"/>
      <c r="AX11" s="193"/>
      <c r="AY11" s="185"/>
      <c r="AZ11" s="152"/>
      <c r="BA11" s="87"/>
      <c r="BB11" s="356"/>
      <c r="BC11" s="63"/>
      <c r="BD11" s="63"/>
      <c r="BE11" s="356"/>
      <c r="BF11" s="154"/>
      <c r="BG11" s="154"/>
      <c r="BH11" s="352"/>
      <c r="BI11" s="154"/>
      <c r="BJ11" s="154"/>
      <c r="BK11" s="352"/>
      <c r="BL11" s="154"/>
      <c r="BM11" s="154"/>
      <c r="BN11" s="352"/>
      <c r="BO11" s="154"/>
      <c r="BP11" s="154"/>
      <c r="BQ11" s="154"/>
      <c r="BR11" s="154"/>
      <c r="BS11" s="154"/>
      <c r="BT11" s="154"/>
      <c r="BU11" s="352"/>
      <c r="BV11" s="154"/>
      <c r="BW11" s="154"/>
      <c r="BX11" s="352"/>
      <c r="BY11" s="154"/>
      <c r="BZ11" s="154"/>
      <c r="CA11" s="352"/>
      <c r="CB11" s="154"/>
      <c r="CC11" s="154"/>
      <c r="CD11" s="352"/>
      <c r="CE11" s="154"/>
      <c r="CF11" s="154"/>
      <c r="CG11" s="154"/>
      <c r="CH11" s="154"/>
      <c r="CI11" s="154"/>
      <c r="CJ11" s="154"/>
      <c r="CK11" s="194"/>
      <c r="CL11" s="194"/>
      <c r="CM11" s="152"/>
    </row>
    <row r="12" spans="1:91">
      <c r="A12" s="3"/>
      <c r="B12" s="45" t="s">
        <v>292</v>
      </c>
      <c r="C12" s="150">
        <v>33431</v>
      </c>
      <c r="D12" s="47" t="s">
        <v>19</v>
      </c>
      <c r="E12" s="113">
        <v>174</v>
      </c>
      <c r="F12" s="113">
        <v>62</v>
      </c>
      <c r="G12" s="113">
        <v>84</v>
      </c>
      <c r="H12" s="47">
        <v>0.99199999999999999</v>
      </c>
      <c r="I12" s="151">
        <f t="shared" ref="I12:I21" si="34">F12/(E12/100)^2</f>
        <v>20.478266613819528</v>
      </c>
      <c r="J12" s="43" t="s">
        <v>30</v>
      </c>
      <c r="K12" s="47">
        <f t="shared" ref="K12:K21" si="35">((E12-F12)*E12)/(H12*2*G12)</f>
        <v>116.93548387096774</v>
      </c>
      <c r="L12" s="45" t="s">
        <v>292</v>
      </c>
      <c r="M12" s="45">
        <v>187</v>
      </c>
      <c r="N12" s="66">
        <v>13</v>
      </c>
      <c r="O12" s="30">
        <f t="shared" ref="O12:O22" si="36">IF(M12=0,"",IF(M12&lt;165,2,IF(AND(M12&gt;=165,M12&lt;173),3,IF(AND(M12&gt;=173,M12&lt;180),4,IF(AND(M12&gt;=180),5)))))</f>
        <v>5</v>
      </c>
      <c r="P12" s="45">
        <v>4.5</v>
      </c>
      <c r="Q12" s="66">
        <v>19</v>
      </c>
      <c r="R12" s="30">
        <f t="shared" ref="R12:R22" si="37">IF(P12=0,"",IF(P12&gt;5.9,2,IF(AND(P12&lt;=5.9,P12&gt;5.5),3,IF(AND(P12&lt;=5.5,P12&gt;5),4,IF(AND(P12&lt;=5),5)))))</f>
        <v>5</v>
      </c>
      <c r="S12" s="45">
        <v>10.1</v>
      </c>
      <c r="T12" s="66">
        <v>20</v>
      </c>
      <c r="U12" s="30">
        <f t="shared" ref="U12:U22" si="38">IF(S12=0,"",IF(S12&gt;11,2,IF(AND(S12&lt;=11,S12&gt;10.8),3,IF(AND(S12&lt;=10.8,S12&gt;10.4),4,IF(AND(S12&lt;=10.4),5)))))</f>
        <v>5</v>
      </c>
      <c r="V12" s="45">
        <v>1375</v>
      </c>
      <c r="W12" s="66">
        <v>20</v>
      </c>
      <c r="X12" s="30">
        <f t="shared" ref="X12:X22" si="39">IF(V12=0,"",IF(V12&lt;1100,2,IF(AND(V12&gt;=1100,V12&lt;1180),3,IF(AND(V12&gt;=1180,V12&lt;1240),4,IF(AND(V12&gt;=1240),5)))))</f>
        <v>5</v>
      </c>
      <c r="Y12" s="40">
        <f t="shared" ref="Y12:Y22" si="40">SUM(N12,Q12,T12,W12)</f>
        <v>72</v>
      </c>
      <c r="Z12" s="30">
        <f t="shared" ref="Z12:Z17" si="41">IF(Y12=0,"",IF(Y12&lt;4,2,IF(AND(Y12&gt;=4,Y12&lt;16),3,IF(AND(Y12&gt;=16,Y12&lt;30),4,IF(AND(Y12&gt;=30),5)))))</f>
        <v>5</v>
      </c>
      <c r="AA12" s="223">
        <v>5</v>
      </c>
      <c r="AB12" s="45" t="s">
        <v>292</v>
      </c>
      <c r="AC12" s="45">
        <v>41</v>
      </c>
      <c r="AD12" s="66">
        <v>12</v>
      </c>
      <c r="AE12" s="30">
        <f t="shared" ref="AE12:AE22" si="42">IF(AC12=0,"",IF(AC12&lt;25,2,IF(AND(AC12&gt;=25,AC12&lt;30),3,IF(AND(AC12&gt;=30,AC12&lt;40),4,IF(AND(AC12&gt;=40),5)))))</f>
        <v>5</v>
      </c>
      <c r="AF12" s="45">
        <v>21</v>
      </c>
      <c r="AG12" s="66">
        <v>20</v>
      </c>
      <c r="AH12" s="30">
        <f t="shared" ref="AH12:AH22" si="43">IF(AF12=0,"",IF(AF12&lt;11,2,IF(AND(AF12&gt;=11,AF12&lt;14),3,IF(AND(AF12&gt;=14,AF12&lt;18),4,IF(AND(AF12&gt;=18),5)))))</f>
        <v>5</v>
      </c>
      <c r="AI12" s="45">
        <v>180</v>
      </c>
      <c r="AJ12" s="66">
        <v>20</v>
      </c>
      <c r="AK12" s="30">
        <f t="shared" ref="AK12:AK22" si="44">IF(AI12=0,"",IF(AI12&lt;80,2,IF(AND(AI12&gt;=80,AI12&lt;110),3,IF(AND(AI12&gt;=110,AI12&lt;140),4,IF(AND(AI12&gt;=140),5)))))</f>
        <v>5</v>
      </c>
      <c r="AL12" s="45">
        <v>4</v>
      </c>
      <c r="AM12" s="66">
        <v>1</v>
      </c>
      <c r="AN12" s="30">
        <f t="shared" ref="AN12:AN22" si="45">IF(AL12=0,"",IF(AL12&lt;4,2,IF(AND(AL12&gt;=4,AL12&lt;6),3,IF(AND(AL12&gt;=6,AL12&lt;9),4,IF(AND(AL12&gt;=9),5)))))</f>
        <v>3</v>
      </c>
      <c r="AO12" s="45">
        <v>16</v>
      </c>
      <c r="AP12" s="66">
        <v>16</v>
      </c>
      <c r="AQ12" s="30">
        <f t="shared" ref="AQ12:AQ22" si="46">IF(AO12=0,"",IF(AO12&lt;1,2,IF(AND(AO12&gt;=1,AO12&lt;5),3,IF(AND(AO12&gt;=5,AO12&lt;10),4,IF(AND(AO12&gt;=10),5)))))</f>
        <v>5</v>
      </c>
      <c r="AR12" s="45">
        <v>9</v>
      </c>
      <c r="AS12" s="40">
        <v>9</v>
      </c>
      <c r="AT12" s="30">
        <f t="shared" ref="AT12:AT22" si="47">IF(AR12=0,"",IF(AR12&lt;1,2,IF(AND(AR12&gt;=1,AR12&lt;5),3,IF(AND(AR12&gt;=5,AR12&lt;10),4,IF(AND(AR12&gt;=10),5)))))</f>
        <v>4</v>
      </c>
      <c r="AU12" s="40">
        <f t="shared" ref="AU12:AU22" si="48">SUM(AD12,AG12,AJ12,AM12,AP12,AS12)</f>
        <v>78</v>
      </c>
      <c r="AV12" s="30">
        <f t="shared" ref="AV12:AV22" si="49">IF(AU12=0,"",IF(AU12&lt;6,2,IF(AND(AU12&gt;=6,AU12&lt;20),3,IF(AND(AU12&gt;=20,AU12&lt;46),4,IF(AND(AU12&gt;=46),5)))))</f>
        <v>5</v>
      </c>
      <c r="AW12" s="40">
        <f t="shared" ref="AW12:AW22" si="50">SUM(Y12,AU12)</f>
        <v>150</v>
      </c>
      <c r="AX12" s="30">
        <f t="shared" ref="AX12:AX21" si="51">IF(AW12=0,"",IF(AW12&lt;10,2,IF(AND(AW12&gt;=10,AW12&lt;36),3,IF(AND(AW12&gt;=36,AW12&lt;76),4,IF(AND(AW12&gt;=76),5)))))</f>
        <v>5</v>
      </c>
      <c r="AY12" s="41"/>
      <c r="AZ12" s="45" t="s">
        <v>292</v>
      </c>
      <c r="BA12" s="45">
        <v>8.48</v>
      </c>
      <c r="BB12" s="351">
        <v>5</v>
      </c>
      <c r="BC12" s="30">
        <v>4</v>
      </c>
      <c r="BD12" s="45">
        <v>17.510000000000002</v>
      </c>
      <c r="BE12" s="351">
        <v>5</v>
      </c>
      <c r="BF12" s="30">
        <v>4</v>
      </c>
      <c r="BG12" s="65">
        <v>14</v>
      </c>
      <c r="BH12" s="343">
        <v>14</v>
      </c>
      <c r="BI12" s="30">
        <f t="shared" ref="BI12:BI22" si="52">IF(BG12=0,"",IF(BG12&lt;6,2,IF(AND(BG12&gt;=6,BG12&lt;8),3,IF(AND(BG12&gt;=8,BG12&lt;10),4,IF(AND(BG12&gt;=10),5)))))</f>
        <v>5</v>
      </c>
      <c r="BJ12" s="65">
        <v>19</v>
      </c>
      <c r="BK12" s="343">
        <v>19</v>
      </c>
      <c r="BL12" s="30">
        <f t="shared" ref="BL12:BL22" si="53">IF(BJ12=0,"",IF(BJ12&lt;6,2,IF(AND(BJ12&gt;=6,BJ12&lt;8),3,IF(AND(BJ12&gt;=8,BJ12&lt;10),4,IF(AND(BJ12&gt;=10),5)))))</f>
        <v>5</v>
      </c>
      <c r="BM12" s="65">
        <v>3</v>
      </c>
      <c r="BN12" s="343">
        <v>10</v>
      </c>
      <c r="BO12" s="30">
        <f t="shared" ref="BO12:BO22" si="54">IF(BM12=0,"",IF(BM12&lt;1,2,IF(AND(BM12&gt;=1,BM12&lt;2),3,IF(AND(BM12&gt;=2,BM12&lt;3),4,IF(AND(BM12&gt;=3),5)))))</f>
        <v>5</v>
      </c>
      <c r="BP12" s="40">
        <f t="shared" ref="BP12:BP22" si="55">SUM(BB12,BE12,BH12,BK12,BN12)</f>
        <v>53</v>
      </c>
      <c r="BQ12" s="30">
        <f t="shared" ref="BQ12:BQ21" si="56">IF(BP12=0,"",IF(BP12&lt;5,2,IF(AND(BP12&gt;=5,BP12&lt;17),3,IF(AND(BP12&gt;=17,BP12&lt;40),4,IF(AND(BP12&gt;=40),5)))))</f>
        <v>5</v>
      </c>
      <c r="BR12" s="40">
        <f t="shared" ref="BR12:BR22" si="57">SUM(AW12,BP12)</f>
        <v>203</v>
      </c>
      <c r="BS12" s="41"/>
      <c r="BT12" s="65">
        <v>17</v>
      </c>
      <c r="BU12" s="343">
        <v>1</v>
      </c>
      <c r="BV12" s="30">
        <f t="shared" ref="BV12:BV22" si="58">IF(BT12=0,"",IF(BT12&gt;17,2,IF(AND(BT12&lt;=17,BT12&gt;16.5),3,IF(AND(BT12&lt;=16.5,BT12&gt;16),4,IF(AND(BT12&lt;=16),5)))))</f>
        <v>3</v>
      </c>
      <c r="BW12" s="65">
        <v>10</v>
      </c>
      <c r="BX12" s="343">
        <v>10</v>
      </c>
      <c r="BY12" s="30">
        <f t="shared" ref="BY12:BY22" si="59">IF(BW12=0,"",IF(BW12&gt;12.2,2,IF(AND(BW12&lt;=12.2,BW12&gt;11.3),3,IF(AND(BW12&lt;=11.3,BW12&gt;10),4,IF(AND(BW12&lt;=10),5)))))</f>
        <v>5</v>
      </c>
      <c r="BZ12" s="65">
        <v>18</v>
      </c>
      <c r="CA12" s="343">
        <v>5</v>
      </c>
      <c r="CB12" s="30">
        <f t="shared" ref="CB12:CB22" si="60">IF(BZ12=0,"",IF(BZ12&lt;12,2,IF(AND(BZ12&gt;=12,BZ12&lt;18),3,IF(AND(BZ12&gt;=18,BZ12&lt;23),4,IF(AND(BZ12&gt;=23),5)))))</f>
        <v>4</v>
      </c>
      <c r="CC12" s="65">
        <v>9</v>
      </c>
      <c r="CD12" s="343">
        <v>7</v>
      </c>
      <c r="CE12" s="30">
        <f t="shared" ref="CE12:CE22" si="61">IF(CC12=0,"",IF(CC12&lt;4,2,IF(AND(CC12&gt;=4,CC12&lt;8),3,IF(AND(CC12&gt;=8,CC12&lt;12),4,IF(AND(CC12&gt;=12),5)))))</f>
        <v>4</v>
      </c>
      <c r="CF12" s="40">
        <f t="shared" ref="CF12:CF22" si="62">SUM(BU12,BX12,CA12,CD12)</f>
        <v>23</v>
      </c>
      <c r="CG12" s="30">
        <f t="shared" ref="CG12:CG22" si="63">IF(CF12=0,"",IF(CF12&lt;4,2,IF(AND(CF12&gt;=4,CF12&lt;16),3,IF(AND(CF12&gt;=16,CF12&lt;30),4,IF(AND(CF12&gt;=30),5)))))</f>
        <v>4</v>
      </c>
      <c r="CH12" s="40">
        <f t="shared" ref="CH12:CH22" si="64">SUM(BP12,CF12)</f>
        <v>76</v>
      </c>
      <c r="CI12" s="30">
        <f t="shared" ref="CI12:CI21" si="65">IF(CH12=0,"",IF(CH12&lt;9,2,IF(AND(CH12&gt;=9,CH12&lt;33),3,IF(AND(CH12&gt;=33,CH12&lt;70),4,IF(AND(CH12&gt;=70),5)))))</f>
        <v>5</v>
      </c>
      <c r="CJ12" s="40">
        <f t="shared" ref="CJ12:CJ22" si="66">SUM(BR12,CF12)</f>
        <v>226</v>
      </c>
      <c r="CK12" s="30">
        <f t="shared" ref="CK12:CK21" si="67">IF(CJ12=0,"",IF(CJ12&lt;19,2,IF(AND(CJ12&gt;=19,CJ12&lt;69),3,IF(AND(CJ12&gt;=69,CJ12&lt;146),4,IF(AND(CJ12&gt;=146),5)))))</f>
        <v>5</v>
      </c>
      <c r="CL12" s="41"/>
      <c r="CM12" s="45" t="s">
        <v>292</v>
      </c>
    </row>
    <row r="13" spans="1:91">
      <c r="A13" s="3"/>
      <c r="B13" s="32" t="s">
        <v>293</v>
      </c>
      <c r="C13" s="150">
        <v>33396</v>
      </c>
      <c r="D13" s="47" t="s">
        <v>77</v>
      </c>
      <c r="E13" s="47">
        <v>168</v>
      </c>
      <c r="F13" s="47">
        <v>56</v>
      </c>
      <c r="G13" s="47">
        <v>72</v>
      </c>
      <c r="H13" s="47">
        <v>0.99199999999999999</v>
      </c>
      <c r="I13" s="151">
        <f t="shared" si="34"/>
        <v>19.841269841269845</v>
      </c>
      <c r="J13" s="43" t="s">
        <v>30</v>
      </c>
      <c r="K13" s="47">
        <f t="shared" si="35"/>
        <v>131.72043010752688</v>
      </c>
      <c r="L13" s="32" t="s">
        <v>293</v>
      </c>
      <c r="M13" s="32">
        <v>198</v>
      </c>
      <c r="N13" s="40">
        <v>20</v>
      </c>
      <c r="O13" s="30">
        <f t="shared" si="36"/>
        <v>5</v>
      </c>
      <c r="P13" s="32">
        <v>4.9000000000000004</v>
      </c>
      <c r="Q13" s="40">
        <v>12</v>
      </c>
      <c r="R13" s="30">
        <f t="shared" si="37"/>
        <v>5</v>
      </c>
      <c r="S13" s="32">
        <v>9.9</v>
      </c>
      <c r="T13" s="40">
        <v>20</v>
      </c>
      <c r="U13" s="30">
        <f t="shared" si="38"/>
        <v>5</v>
      </c>
      <c r="V13" s="32">
        <v>1320</v>
      </c>
      <c r="W13" s="40">
        <v>18</v>
      </c>
      <c r="X13" s="30">
        <f t="shared" si="39"/>
        <v>5</v>
      </c>
      <c r="Y13" s="40">
        <f t="shared" si="40"/>
        <v>70</v>
      </c>
      <c r="Z13" s="30">
        <f t="shared" si="41"/>
        <v>5</v>
      </c>
      <c r="AA13" s="223">
        <v>5</v>
      </c>
      <c r="AB13" s="32" t="s">
        <v>293</v>
      </c>
      <c r="AC13" s="32">
        <v>38</v>
      </c>
      <c r="AD13" s="40">
        <v>9</v>
      </c>
      <c r="AE13" s="30">
        <f t="shared" si="42"/>
        <v>4</v>
      </c>
      <c r="AF13" s="32">
        <v>21</v>
      </c>
      <c r="AG13" s="40">
        <v>20</v>
      </c>
      <c r="AH13" s="30">
        <f t="shared" si="43"/>
        <v>5</v>
      </c>
      <c r="AI13" s="32">
        <v>137</v>
      </c>
      <c r="AJ13" s="40">
        <v>9</v>
      </c>
      <c r="AK13" s="30">
        <f t="shared" si="44"/>
        <v>4</v>
      </c>
      <c r="AL13" s="32">
        <v>4</v>
      </c>
      <c r="AM13" s="40">
        <v>1</v>
      </c>
      <c r="AN13" s="30">
        <f t="shared" si="45"/>
        <v>3</v>
      </c>
      <c r="AO13" s="32">
        <v>16</v>
      </c>
      <c r="AP13" s="40">
        <v>16</v>
      </c>
      <c r="AQ13" s="30">
        <f t="shared" si="46"/>
        <v>5</v>
      </c>
      <c r="AR13" s="45">
        <v>10</v>
      </c>
      <c r="AS13" s="40">
        <v>10</v>
      </c>
      <c r="AT13" s="30">
        <f t="shared" si="47"/>
        <v>5</v>
      </c>
      <c r="AU13" s="40">
        <f t="shared" si="48"/>
        <v>65</v>
      </c>
      <c r="AV13" s="30">
        <f t="shared" si="49"/>
        <v>5</v>
      </c>
      <c r="AW13" s="40">
        <f t="shared" si="50"/>
        <v>135</v>
      </c>
      <c r="AX13" s="30">
        <f t="shared" si="51"/>
        <v>5</v>
      </c>
      <c r="AY13" s="41"/>
      <c r="AZ13" s="32" t="s">
        <v>293</v>
      </c>
      <c r="BA13" s="32">
        <v>9.41</v>
      </c>
      <c r="BB13" s="349">
        <v>5</v>
      </c>
      <c r="BC13" s="30">
        <v>4</v>
      </c>
      <c r="BD13" s="32">
        <v>20.37</v>
      </c>
      <c r="BE13" s="349">
        <v>5</v>
      </c>
      <c r="BF13" s="30">
        <v>4</v>
      </c>
      <c r="BG13" s="31">
        <v>16</v>
      </c>
      <c r="BH13" s="344">
        <v>16</v>
      </c>
      <c r="BI13" s="30">
        <f t="shared" si="52"/>
        <v>5</v>
      </c>
      <c r="BJ13" s="31">
        <v>18</v>
      </c>
      <c r="BK13" s="344">
        <v>18</v>
      </c>
      <c r="BL13" s="30">
        <f t="shared" si="53"/>
        <v>5</v>
      </c>
      <c r="BM13" s="31">
        <v>3</v>
      </c>
      <c r="BN13" s="344">
        <v>10</v>
      </c>
      <c r="BO13" s="30">
        <f t="shared" si="54"/>
        <v>5</v>
      </c>
      <c r="BP13" s="40">
        <f t="shared" si="55"/>
        <v>54</v>
      </c>
      <c r="BQ13" s="30">
        <f t="shared" si="56"/>
        <v>5</v>
      </c>
      <c r="BR13" s="40">
        <f t="shared" si="57"/>
        <v>189</v>
      </c>
      <c r="BS13" s="41"/>
      <c r="BT13" s="31">
        <v>17.7</v>
      </c>
      <c r="BU13" s="344">
        <v>0</v>
      </c>
      <c r="BV13" s="30">
        <f t="shared" si="58"/>
        <v>2</v>
      </c>
      <c r="BW13" s="31">
        <v>12.2</v>
      </c>
      <c r="BX13" s="344">
        <v>1</v>
      </c>
      <c r="BY13" s="30">
        <f t="shared" si="59"/>
        <v>3</v>
      </c>
      <c r="BZ13" s="31">
        <v>23</v>
      </c>
      <c r="CA13" s="344">
        <v>10</v>
      </c>
      <c r="CB13" s="30">
        <f t="shared" si="60"/>
        <v>5</v>
      </c>
      <c r="CC13" s="31">
        <v>8</v>
      </c>
      <c r="CD13" s="344">
        <v>5</v>
      </c>
      <c r="CE13" s="30">
        <f t="shared" si="61"/>
        <v>4</v>
      </c>
      <c r="CF13" s="40">
        <f t="shared" si="62"/>
        <v>16</v>
      </c>
      <c r="CG13" s="30">
        <f t="shared" si="63"/>
        <v>4</v>
      </c>
      <c r="CH13" s="40">
        <f t="shared" si="64"/>
        <v>70</v>
      </c>
      <c r="CI13" s="30">
        <f t="shared" si="65"/>
        <v>5</v>
      </c>
      <c r="CJ13" s="40">
        <f t="shared" si="66"/>
        <v>205</v>
      </c>
      <c r="CK13" s="30">
        <f t="shared" si="67"/>
        <v>5</v>
      </c>
      <c r="CL13" s="41"/>
      <c r="CM13" s="32" t="s">
        <v>293</v>
      </c>
    </row>
    <row r="14" spans="1:91">
      <c r="A14" s="3"/>
      <c r="B14" s="32" t="s">
        <v>294</v>
      </c>
      <c r="C14" s="150">
        <v>33452</v>
      </c>
      <c r="D14" s="47" t="s">
        <v>19</v>
      </c>
      <c r="E14" s="47">
        <v>153</v>
      </c>
      <c r="F14" s="47">
        <v>40</v>
      </c>
      <c r="G14" s="47">
        <v>72</v>
      </c>
      <c r="H14" s="47">
        <v>0.99199999999999999</v>
      </c>
      <c r="I14" s="151">
        <f t="shared" si="34"/>
        <v>17.087444999786406</v>
      </c>
      <c r="J14" s="43" t="s">
        <v>82</v>
      </c>
      <c r="K14" s="47">
        <f t="shared" si="35"/>
        <v>121.03074596774192</v>
      </c>
      <c r="L14" s="32" t="s">
        <v>294</v>
      </c>
      <c r="M14" s="32">
        <v>173</v>
      </c>
      <c r="N14" s="40">
        <v>5</v>
      </c>
      <c r="O14" s="30">
        <f t="shared" si="36"/>
        <v>4</v>
      </c>
      <c r="P14" s="32">
        <v>4.8</v>
      </c>
      <c r="Q14" s="40">
        <v>14</v>
      </c>
      <c r="R14" s="30">
        <f t="shared" si="37"/>
        <v>5</v>
      </c>
      <c r="S14" s="32">
        <v>10.4</v>
      </c>
      <c r="T14" s="40">
        <v>10</v>
      </c>
      <c r="U14" s="30">
        <f t="shared" si="38"/>
        <v>5</v>
      </c>
      <c r="V14" s="32">
        <v>1410</v>
      </c>
      <c r="W14" s="40">
        <v>20</v>
      </c>
      <c r="X14" s="30">
        <f t="shared" si="39"/>
        <v>5</v>
      </c>
      <c r="Y14" s="40">
        <f t="shared" si="40"/>
        <v>49</v>
      </c>
      <c r="Z14" s="30">
        <f t="shared" si="41"/>
        <v>5</v>
      </c>
      <c r="AA14" s="41"/>
      <c r="AB14" s="32" t="s">
        <v>294</v>
      </c>
      <c r="AC14" s="32">
        <v>35</v>
      </c>
      <c r="AD14" s="40">
        <v>7</v>
      </c>
      <c r="AE14" s="30">
        <f t="shared" si="42"/>
        <v>4</v>
      </c>
      <c r="AF14" s="32">
        <v>17</v>
      </c>
      <c r="AG14" s="40">
        <v>9</v>
      </c>
      <c r="AH14" s="30">
        <f t="shared" si="43"/>
        <v>4</v>
      </c>
      <c r="AI14" s="32">
        <v>80</v>
      </c>
      <c r="AJ14" s="40">
        <v>1</v>
      </c>
      <c r="AK14" s="30">
        <f t="shared" si="44"/>
        <v>3</v>
      </c>
      <c r="AL14" s="32">
        <v>5</v>
      </c>
      <c r="AM14" s="40">
        <v>3</v>
      </c>
      <c r="AN14" s="30">
        <f t="shared" si="45"/>
        <v>3</v>
      </c>
      <c r="AO14" s="32">
        <v>8</v>
      </c>
      <c r="AP14" s="40">
        <v>8</v>
      </c>
      <c r="AQ14" s="30">
        <f t="shared" si="46"/>
        <v>4</v>
      </c>
      <c r="AR14" s="45">
        <v>10</v>
      </c>
      <c r="AS14" s="40">
        <v>10</v>
      </c>
      <c r="AT14" s="30">
        <f t="shared" si="47"/>
        <v>5</v>
      </c>
      <c r="AU14" s="40">
        <f t="shared" si="48"/>
        <v>38</v>
      </c>
      <c r="AV14" s="30">
        <f t="shared" si="49"/>
        <v>4</v>
      </c>
      <c r="AW14" s="40">
        <f t="shared" si="50"/>
        <v>87</v>
      </c>
      <c r="AX14" s="30">
        <f t="shared" si="51"/>
        <v>5</v>
      </c>
      <c r="AY14" s="41"/>
      <c r="AZ14" s="32" t="s">
        <v>294</v>
      </c>
      <c r="BA14" s="32">
        <v>13.15</v>
      </c>
      <c r="BB14" s="349">
        <v>1</v>
      </c>
      <c r="BC14" s="30">
        <v>3</v>
      </c>
      <c r="BD14" s="32">
        <v>27.05</v>
      </c>
      <c r="BE14" s="349">
        <v>1</v>
      </c>
      <c r="BF14" s="30">
        <v>3</v>
      </c>
      <c r="BG14" s="31">
        <v>15</v>
      </c>
      <c r="BH14" s="344">
        <v>15</v>
      </c>
      <c r="BI14" s="30">
        <f t="shared" si="52"/>
        <v>5</v>
      </c>
      <c r="BJ14" s="31">
        <v>16</v>
      </c>
      <c r="BK14" s="344">
        <v>16</v>
      </c>
      <c r="BL14" s="30">
        <f t="shared" si="53"/>
        <v>5</v>
      </c>
      <c r="BM14" s="31">
        <v>3</v>
      </c>
      <c r="BN14" s="344">
        <v>10</v>
      </c>
      <c r="BO14" s="30">
        <f t="shared" si="54"/>
        <v>5</v>
      </c>
      <c r="BP14" s="40">
        <f t="shared" si="55"/>
        <v>43</v>
      </c>
      <c r="BQ14" s="30">
        <f t="shared" si="56"/>
        <v>5</v>
      </c>
      <c r="BR14" s="40">
        <f t="shared" si="57"/>
        <v>130</v>
      </c>
      <c r="BS14" s="41"/>
      <c r="BT14" s="31">
        <v>17</v>
      </c>
      <c r="BU14" s="344">
        <v>1</v>
      </c>
      <c r="BV14" s="30">
        <f t="shared" si="58"/>
        <v>3</v>
      </c>
      <c r="BW14" s="31">
        <v>10</v>
      </c>
      <c r="BX14" s="344">
        <v>10</v>
      </c>
      <c r="BY14" s="30">
        <f t="shared" si="59"/>
        <v>5</v>
      </c>
      <c r="BZ14" s="31">
        <v>14</v>
      </c>
      <c r="CA14" s="344">
        <v>2</v>
      </c>
      <c r="CB14" s="30">
        <f t="shared" si="60"/>
        <v>3</v>
      </c>
      <c r="CC14" s="31">
        <v>21</v>
      </c>
      <c r="CD14" s="344">
        <v>19</v>
      </c>
      <c r="CE14" s="30">
        <f t="shared" si="61"/>
        <v>5</v>
      </c>
      <c r="CF14" s="40">
        <f t="shared" si="62"/>
        <v>32</v>
      </c>
      <c r="CG14" s="30">
        <f t="shared" si="63"/>
        <v>5</v>
      </c>
      <c r="CH14" s="40">
        <f t="shared" si="64"/>
        <v>75</v>
      </c>
      <c r="CI14" s="30">
        <f t="shared" si="65"/>
        <v>5</v>
      </c>
      <c r="CJ14" s="40">
        <f t="shared" si="66"/>
        <v>162</v>
      </c>
      <c r="CK14" s="30">
        <f t="shared" si="67"/>
        <v>5</v>
      </c>
      <c r="CL14" s="41"/>
      <c r="CM14" s="32" t="s">
        <v>294</v>
      </c>
    </row>
    <row r="15" spans="1:91">
      <c r="A15" s="3"/>
      <c r="B15" s="39" t="s">
        <v>295</v>
      </c>
      <c r="C15" s="195">
        <v>33351</v>
      </c>
      <c r="D15" s="196" t="s">
        <v>19</v>
      </c>
      <c r="E15" s="47">
        <v>176</v>
      </c>
      <c r="F15" s="47">
        <v>64</v>
      </c>
      <c r="G15" s="47">
        <v>76</v>
      </c>
      <c r="H15" s="47">
        <v>0.99199999999999999</v>
      </c>
      <c r="I15" s="151">
        <f t="shared" si="34"/>
        <v>20.66115702479339</v>
      </c>
      <c r="J15" s="43" t="s">
        <v>30</v>
      </c>
      <c r="K15" s="47">
        <f t="shared" si="35"/>
        <v>130.73005093378609</v>
      </c>
      <c r="L15" s="39" t="s">
        <v>295</v>
      </c>
      <c r="M15" s="32">
        <v>174</v>
      </c>
      <c r="N15" s="40">
        <v>5</v>
      </c>
      <c r="O15" s="30">
        <f t="shared" si="36"/>
        <v>4</v>
      </c>
      <c r="P15" s="32">
        <v>6.1000000000000005</v>
      </c>
      <c r="Q15" s="40">
        <v>0</v>
      </c>
      <c r="R15" s="30">
        <f t="shared" si="37"/>
        <v>2</v>
      </c>
      <c r="S15" s="32">
        <v>11.200000000000001</v>
      </c>
      <c r="T15" s="40">
        <v>0</v>
      </c>
      <c r="U15" s="30">
        <f t="shared" si="38"/>
        <v>2</v>
      </c>
      <c r="V15" s="32">
        <v>1350</v>
      </c>
      <c r="W15" s="40">
        <v>20</v>
      </c>
      <c r="X15" s="30">
        <f t="shared" si="39"/>
        <v>5</v>
      </c>
      <c r="Y15" s="40">
        <f t="shared" si="40"/>
        <v>25</v>
      </c>
      <c r="Z15" s="30">
        <f t="shared" si="41"/>
        <v>4</v>
      </c>
      <c r="AA15" s="41"/>
      <c r="AB15" s="39" t="s">
        <v>295</v>
      </c>
      <c r="AC15" s="32">
        <v>40</v>
      </c>
      <c r="AD15" s="40">
        <v>10</v>
      </c>
      <c r="AE15" s="30">
        <f t="shared" si="42"/>
        <v>5</v>
      </c>
      <c r="AF15" s="32">
        <v>21</v>
      </c>
      <c r="AG15" s="40">
        <v>20</v>
      </c>
      <c r="AH15" s="30">
        <f t="shared" si="43"/>
        <v>5</v>
      </c>
      <c r="AI15" s="32">
        <v>110</v>
      </c>
      <c r="AJ15" s="40">
        <v>5</v>
      </c>
      <c r="AK15" s="30">
        <f t="shared" si="44"/>
        <v>4</v>
      </c>
      <c r="AL15" s="32">
        <v>1</v>
      </c>
      <c r="AM15" s="40">
        <v>0</v>
      </c>
      <c r="AN15" s="30">
        <f t="shared" si="45"/>
        <v>2</v>
      </c>
      <c r="AO15" s="32">
        <v>7</v>
      </c>
      <c r="AP15" s="40">
        <v>7</v>
      </c>
      <c r="AQ15" s="30">
        <f t="shared" si="46"/>
        <v>4</v>
      </c>
      <c r="AR15" s="45">
        <v>9</v>
      </c>
      <c r="AS15" s="40">
        <v>9</v>
      </c>
      <c r="AT15" s="30">
        <f t="shared" si="47"/>
        <v>4</v>
      </c>
      <c r="AU15" s="40">
        <f t="shared" si="48"/>
        <v>51</v>
      </c>
      <c r="AV15" s="30">
        <f t="shared" si="49"/>
        <v>5</v>
      </c>
      <c r="AW15" s="40">
        <f t="shared" si="50"/>
        <v>76</v>
      </c>
      <c r="AX15" s="30">
        <f t="shared" si="51"/>
        <v>5</v>
      </c>
      <c r="AY15" s="41"/>
      <c r="AZ15" s="39" t="s">
        <v>295</v>
      </c>
      <c r="BA15" s="32">
        <v>11.36</v>
      </c>
      <c r="BB15" s="349">
        <v>5</v>
      </c>
      <c r="BC15" s="30">
        <f>IF(BA15=0,"",IF(BA15&gt;6.3,2,IF(AND(BA15&lt;=6.3,BA15&gt;6),3,IF(AND(BA15&lt;=6,BA15&gt;5.3),4,IF(AND(BA15&lt;=5.3),5)))))</f>
        <v>2</v>
      </c>
      <c r="BD15" s="32">
        <v>23.43</v>
      </c>
      <c r="BE15" s="349">
        <v>5</v>
      </c>
      <c r="BF15" s="30">
        <f>IF(BD15=0,"",IF(BD15&gt;20,2,IF(AND(BD15&lt;=20,BD15&gt;19),3,IF(AND(BD15&lt;=19,BD15&gt;18.3),4,IF(AND(BD15&lt;=18.3),5)))))</f>
        <v>2</v>
      </c>
      <c r="BG15" s="31">
        <v>20</v>
      </c>
      <c r="BH15" s="344">
        <v>20</v>
      </c>
      <c r="BI15" s="30">
        <f t="shared" si="52"/>
        <v>5</v>
      </c>
      <c r="BJ15" s="31">
        <v>17</v>
      </c>
      <c r="BK15" s="344">
        <v>17</v>
      </c>
      <c r="BL15" s="30">
        <f t="shared" si="53"/>
        <v>5</v>
      </c>
      <c r="BM15" s="31">
        <v>4</v>
      </c>
      <c r="BN15" s="344">
        <v>14</v>
      </c>
      <c r="BO15" s="30">
        <f t="shared" si="54"/>
        <v>5</v>
      </c>
      <c r="BP15" s="40">
        <f t="shared" si="55"/>
        <v>61</v>
      </c>
      <c r="BQ15" s="30">
        <f t="shared" si="56"/>
        <v>5</v>
      </c>
      <c r="BR15" s="40">
        <f t="shared" si="57"/>
        <v>137</v>
      </c>
      <c r="BS15" s="41"/>
      <c r="BT15" s="31">
        <v>18.5</v>
      </c>
      <c r="BU15" s="344">
        <v>0</v>
      </c>
      <c r="BV15" s="30">
        <f t="shared" si="58"/>
        <v>2</v>
      </c>
      <c r="BW15" s="31">
        <v>14.4</v>
      </c>
      <c r="BX15" s="344">
        <v>0</v>
      </c>
      <c r="BY15" s="30">
        <f t="shared" si="59"/>
        <v>2</v>
      </c>
      <c r="BZ15" s="31">
        <v>17</v>
      </c>
      <c r="CA15" s="344">
        <v>4</v>
      </c>
      <c r="CB15" s="30">
        <f t="shared" si="60"/>
        <v>3</v>
      </c>
      <c r="CC15" s="31">
        <v>9</v>
      </c>
      <c r="CD15" s="344">
        <v>7</v>
      </c>
      <c r="CE15" s="30">
        <f t="shared" si="61"/>
        <v>4</v>
      </c>
      <c r="CF15" s="40">
        <f t="shared" si="62"/>
        <v>11</v>
      </c>
      <c r="CG15" s="30">
        <f t="shared" si="63"/>
        <v>3</v>
      </c>
      <c r="CH15" s="40">
        <f t="shared" si="64"/>
        <v>72</v>
      </c>
      <c r="CI15" s="30">
        <f t="shared" si="65"/>
        <v>5</v>
      </c>
      <c r="CJ15" s="40">
        <f t="shared" si="66"/>
        <v>148</v>
      </c>
      <c r="CK15" s="30">
        <f t="shared" si="67"/>
        <v>5</v>
      </c>
      <c r="CL15" s="41"/>
      <c r="CM15" s="39" t="s">
        <v>295</v>
      </c>
    </row>
    <row r="16" spans="1:91">
      <c r="A16" s="3"/>
      <c r="B16" s="3" t="s">
        <v>296</v>
      </c>
      <c r="C16" s="184">
        <v>33769</v>
      </c>
      <c r="D16" s="10" t="s">
        <v>19</v>
      </c>
      <c r="E16" s="47">
        <v>171</v>
      </c>
      <c r="F16" s="47">
        <v>72</v>
      </c>
      <c r="G16" s="47">
        <v>79</v>
      </c>
      <c r="H16" s="47">
        <v>1.036</v>
      </c>
      <c r="I16" s="151">
        <f t="shared" si="34"/>
        <v>24.622960911049557</v>
      </c>
      <c r="J16" s="43" t="s">
        <v>24</v>
      </c>
      <c r="K16" s="47">
        <f t="shared" si="35"/>
        <v>103.42236449831385</v>
      </c>
      <c r="L16" s="3" t="s">
        <v>296</v>
      </c>
      <c r="M16" s="32">
        <v>130</v>
      </c>
      <c r="N16" s="40">
        <v>0</v>
      </c>
      <c r="O16" s="30">
        <f t="shared" si="36"/>
        <v>2</v>
      </c>
      <c r="P16" s="32"/>
      <c r="Q16" s="40"/>
      <c r="R16" s="30" t="str">
        <f t="shared" si="37"/>
        <v/>
      </c>
      <c r="S16" s="32">
        <v>11.6</v>
      </c>
      <c r="T16" s="40">
        <v>0</v>
      </c>
      <c r="U16" s="30">
        <f t="shared" si="38"/>
        <v>2</v>
      </c>
      <c r="V16" s="32">
        <v>1250</v>
      </c>
      <c r="W16" s="40">
        <v>11</v>
      </c>
      <c r="X16" s="30">
        <f t="shared" si="39"/>
        <v>5</v>
      </c>
      <c r="Y16" s="40">
        <f t="shared" si="40"/>
        <v>11</v>
      </c>
      <c r="Z16" s="30">
        <f t="shared" si="41"/>
        <v>3</v>
      </c>
      <c r="AA16" s="41"/>
      <c r="AB16" s="3" t="s">
        <v>296</v>
      </c>
      <c r="AC16" s="32">
        <v>35</v>
      </c>
      <c r="AD16" s="40">
        <v>7</v>
      </c>
      <c r="AE16" s="30">
        <f t="shared" si="42"/>
        <v>4</v>
      </c>
      <c r="AF16" s="32">
        <v>11</v>
      </c>
      <c r="AG16" s="40">
        <v>1</v>
      </c>
      <c r="AH16" s="30">
        <f t="shared" si="43"/>
        <v>3</v>
      </c>
      <c r="AI16" s="32">
        <v>134</v>
      </c>
      <c r="AJ16" s="40">
        <v>8</v>
      </c>
      <c r="AK16" s="30">
        <f t="shared" si="44"/>
        <v>4</v>
      </c>
      <c r="AL16" s="32"/>
      <c r="AM16" s="40"/>
      <c r="AN16" s="30" t="str">
        <f t="shared" si="45"/>
        <v/>
      </c>
      <c r="AO16" s="32">
        <v>4</v>
      </c>
      <c r="AP16" s="40">
        <v>4</v>
      </c>
      <c r="AQ16" s="30">
        <f t="shared" si="46"/>
        <v>3</v>
      </c>
      <c r="AR16" s="32">
        <v>9</v>
      </c>
      <c r="AS16" s="40">
        <v>9</v>
      </c>
      <c r="AT16" s="30">
        <f t="shared" si="47"/>
        <v>4</v>
      </c>
      <c r="AU16" s="40">
        <f t="shared" si="48"/>
        <v>29</v>
      </c>
      <c r="AV16" s="30">
        <f t="shared" si="49"/>
        <v>4</v>
      </c>
      <c r="AW16" s="40">
        <f t="shared" si="50"/>
        <v>40</v>
      </c>
      <c r="AX16" s="30">
        <f t="shared" si="51"/>
        <v>4</v>
      </c>
      <c r="AY16" s="41"/>
      <c r="AZ16" s="3" t="s">
        <v>296</v>
      </c>
      <c r="BA16" s="32"/>
      <c r="BB16" s="349">
        <v>5</v>
      </c>
      <c r="BC16" s="30">
        <v>4</v>
      </c>
      <c r="BD16" s="32"/>
      <c r="BE16" s="349">
        <v>5</v>
      </c>
      <c r="BF16" s="30">
        <v>4</v>
      </c>
      <c r="BG16" s="31">
        <v>20</v>
      </c>
      <c r="BH16" s="344">
        <v>20</v>
      </c>
      <c r="BI16" s="30">
        <f t="shared" si="52"/>
        <v>5</v>
      </c>
      <c r="BJ16" s="31">
        <v>5</v>
      </c>
      <c r="BK16" s="344">
        <v>0</v>
      </c>
      <c r="BL16" s="30">
        <f t="shared" si="53"/>
        <v>2</v>
      </c>
      <c r="BM16" s="31">
        <v>5</v>
      </c>
      <c r="BN16" s="344">
        <v>17</v>
      </c>
      <c r="BO16" s="30">
        <f t="shared" si="54"/>
        <v>5</v>
      </c>
      <c r="BP16" s="40">
        <f t="shared" si="55"/>
        <v>47</v>
      </c>
      <c r="BQ16" s="30">
        <f t="shared" si="56"/>
        <v>5</v>
      </c>
      <c r="BR16" s="40">
        <f t="shared" si="57"/>
        <v>87</v>
      </c>
      <c r="BS16" s="41"/>
      <c r="BT16" s="31">
        <v>20.8</v>
      </c>
      <c r="BU16" s="344">
        <v>0</v>
      </c>
      <c r="BV16" s="30">
        <f t="shared" si="58"/>
        <v>2</v>
      </c>
      <c r="BW16" s="31"/>
      <c r="BX16" s="344"/>
      <c r="BY16" s="30" t="str">
        <f t="shared" si="59"/>
        <v/>
      </c>
      <c r="BZ16" s="31">
        <v>21</v>
      </c>
      <c r="CA16" s="344">
        <v>8</v>
      </c>
      <c r="CB16" s="30">
        <f t="shared" si="60"/>
        <v>4</v>
      </c>
      <c r="CC16" s="31">
        <v>1</v>
      </c>
      <c r="CD16" s="344">
        <v>0</v>
      </c>
      <c r="CE16" s="30">
        <f t="shared" si="61"/>
        <v>2</v>
      </c>
      <c r="CF16" s="40">
        <f t="shared" si="62"/>
        <v>8</v>
      </c>
      <c r="CG16" s="30">
        <f t="shared" si="63"/>
        <v>3</v>
      </c>
      <c r="CH16" s="40">
        <f t="shared" si="64"/>
        <v>55</v>
      </c>
      <c r="CI16" s="30">
        <f t="shared" si="65"/>
        <v>4</v>
      </c>
      <c r="CJ16" s="40">
        <f t="shared" si="66"/>
        <v>95</v>
      </c>
      <c r="CK16" s="30">
        <f t="shared" si="67"/>
        <v>4</v>
      </c>
      <c r="CL16" s="41"/>
      <c r="CM16" s="3" t="s">
        <v>296</v>
      </c>
    </row>
    <row r="17" spans="1:91">
      <c r="A17" s="3"/>
      <c r="B17" s="3" t="s">
        <v>297</v>
      </c>
      <c r="C17" s="184">
        <v>33606</v>
      </c>
      <c r="D17" s="10" t="s">
        <v>19</v>
      </c>
      <c r="E17" s="47">
        <v>155</v>
      </c>
      <c r="F17" s="47">
        <v>49</v>
      </c>
      <c r="G17" s="47">
        <v>71</v>
      </c>
      <c r="H17" s="47">
        <v>1.036</v>
      </c>
      <c r="I17" s="151">
        <f t="shared" si="34"/>
        <v>20.39542143600416</v>
      </c>
      <c r="J17" s="43" t="s">
        <v>30</v>
      </c>
      <c r="K17" s="47">
        <f t="shared" si="35"/>
        <v>111.68361520474197</v>
      </c>
      <c r="L17" s="3" t="s">
        <v>297</v>
      </c>
      <c r="M17" s="32">
        <v>135</v>
      </c>
      <c r="N17" s="40">
        <v>0</v>
      </c>
      <c r="O17" s="30">
        <f t="shared" si="36"/>
        <v>2</v>
      </c>
      <c r="P17" s="32">
        <v>5.3</v>
      </c>
      <c r="Q17" s="40">
        <v>7</v>
      </c>
      <c r="R17" s="30">
        <f t="shared" si="37"/>
        <v>4</v>
      </c>
      <c r="S17" s="32">
        <v>11</v>
      </c>
      <c r="T17" s="40">
        <v>1</v>
      </c>
      <c r="U17" s="30">
        <f t="shared" si="38"/>
        <v>3</v>
      </c>
      <c r="V17" s="32">
        <v>1280</v>
      </c>
      <c r="W17" s="40">
        <v>14</v>
      </c>
      <c r="X17" s="30">
        <f t="shared" si="39"/>
        <v>5</v>
      </c>
      <c r="Y17" s="40">
        <f t="shared" si="40"/>
        <v>22</v>
      </c>
      <c r="Z17" s="30">
        <f t="shared" si="41"/>
        <v>4</v>
      </c>
      <c r="AA17" s="41"/>
      <c r="AB17" s="3" t="s">
        <v>297</v>
      </c>
      <c r="AC17" s="32">
        <v>39</v>
      </c>
      <c r="AD17" s="40">
        <v>9</v>
      </c>
      <c r="AE17" s="30">
        <f t="shared" si="42"/>
        <v>4</v>
      </c>
      <c r="AF17" s="32">
        <v>11</v>
      </c>
      <c r="AG17" s="40">
        <v>1</v>
      </c>
      <c r="AH17" s="30">
        <f t="shared" si="43"/>
        <v>3</v>
      </c>
      <c r="AI17" s="32">
        <v>107</v>
      </c>
      <c r="AJ17" s="40">
        <v>4</v>
      </c>
      <c r="AK17" s="30">
        <f t="shared" si="44"/>
        <v>3</v>
      </c>
      <c r="AL17" s="32">
        <v>4</v>
      </c>
      <c r="AM17" s="40">
        <v>1</v>
      </c>
      <c r="AN17" s="30">
        <f t="shared" si="45"/>
        <v>3</v>
      </c>
      <c r="AO17" s="32">
        <v>7</v>
      </c>
      <c r="AP17" s="40">
        <v>7</v>
      </c>
      <c r="AQ17" s="30">
        <f t="shared" si="46"/>
        <v>4</v>
      </c>
      <c r="AR17" s="45">
        <v>8</v>
      </c>
      <c r="AS17" s="40">
        <v>8</v>
      </c>
      <c r="AT17" s="30">
        <f t="shared" si="47"/>
        <v>4</v>
      </c>
      <c r="AU17" s="40">
        <f t="shared" si="48"/>
        <v>30</v>
      </c>
      <c r="AV17" s="30">
        <f t="shared" si="49"/>
        <v>4</v>
      </c>
      <c r="AW17" s="40">
        <f t="shared" si="50"/>
        <v>52</v>
      </c>
      <c r="AX17" s="30">
        <f t="shared" si="51"/>
        <v>4</v>
      </c>
      <c r="AY17" s="41"/>
      <c r="AZ17" s="3" t="s">
        <v>297</v>
      </c>
      <c r="BA17" s="32">
        <v>10.050000000000001</v>
      </c>
      <c r="BB17" s="349">
        <v>0</v>
      </c>
      <c r="BC17" s="30">
        <f t="shared" ref="BC17:BC22" si="68">IF(BA17=0,"",IF(BA17&gt;6.3,2,IF(AND(BA17&lt;=6.3,BA17&gt;6),3,IF(AND(BA17&lt;=6,BA17&gt;5.3),4,IF(AND(BA17&lt;=5.3),5)))))</f>
        <v>2</v>
      </c>
      <c r="BD17" s="32">
        <v>23.43</v>
      </c>
      <c r="BE17" s="349">
        <v>0</v>
      </c>
      <c r="BF17" s="30">
        <f t="shared" ref="BF17:BF22" si="69">IF(BD17=0,"",IF(BD17&gt;20,2,IF(AND(BD17&lt;=20,BD17&gt;19),3,IF(AND(BD17&lt;=19,BD17&gt;18.3),4,IF(AND(BD17&lt;=18.3),5)))))</f>
        <v>2</v>
      </c>
      <c r="BG17" s="31">
        <v>13</v>
      </c>
      <c r="BH17" s="344">
        <v>13</v>
      </c>
      <c r="BI17" s="30">
        <f t="shared" si="52"/>
        <v>5</v>
      </c>
      <c r="BJ17" s="31">
        <v>7</v>
      </c>
      <c r="BK17" s="344">
        <v>3</v>
      </c>
      <c r="BL17" s="30">
        <f t="shared" si="53"/>
        <v>3</v>
      </c>
      <c r="BM17" s="31">
        <v>2</v>
      </c>
      <c r="BN17" s="344">
        <v>5</v>
      </c>
      <c r="BO17" s="30">
        <f t="shared" si="54"/>
        <v>4</v>
      </c>
      <c r="BP17" s="40">
        <f t="shared" si="55"/>
        <v>21</v>
      </c>
      <c r="BQ17" s="30">
        <f t="shared" si="56"/>
        <v>4</v>
      </c>
      <c r="BR17" s="40">
        <f t="shared" si="57"/>
        <v>73</v>
      </c>
      <c r="BS17" s="41"/>
      <c r="BT17" s="31">
        <v>19.5</v>
      </c>
      <c r="BU17" s="344">
        <v>0</v>
      </c>
      <c r="BV17" s="30">
        <f t="shared" si="58"/>
        <v>2</v>
      </c>
      <c r="BW17" s="31"/>
      <c r="BX17" s="344"/>
      <c r="BY17" s="30" t="str">
        <f t="shared" si="59"/>
        <v/>
      </c>
      <c r="BZ17" s="31">
        <v>18</v>
      </c>
      <c r="CA17" s="344">
        <v>5</v>
      </c>
      <c r="CB17" s="30">
        <f t="shared" si="60"/>
        <v>4</v>
      </c>
      <c r="CC17" s="31">
        <v>9</v>
      </c>
      <c r="CD17" s="344">
        <v>7</v>
      </c>
      <c r="CE17" s="30">
        <f t="shared" si="61"/>
        <v>4</v>
      </c>
      <c r="CF17" s="40">
        <f t="shared" si="62"/>
        <v>12</v>
      </c>
      <c r="CG17" s="30">
        <f t="shared" si="63"/>
        <v>3</v>
      </c>
      <c r="CH17" s="40">
        <f t="shared" si="64"/>
        <v>33</v>
      </c>
      <c r="CI17" s="30">
        <f t="shared" si="65"/>
        <v>4</v>
      </c>
      <c r="CJ17" s="40">
        <f t="shared" si="66"/>
        <v>85</v>
      </c>
      <c r="CK17" s="30">
        <f t="shared" si="67"/>
        <v>4</v>
      </c>
      <c r="CL17" s="41"/>
      <c r="CM17" s="3" t="s">
        <v>297</v>
      </c>
    </row>
    <row r="18" spans="1:91">
      <c r="A18" s="3"/>
      <c r="B18" s="32" t="s">
        <v>298</v>
      </c>
      <c r="C18" s="150">
        <v>33606</v>
      </c>
      <c r="D18" s="47" t="s">
        <v>77</v>
      </c>
      <c r="E18" s="47">
        <v>164</v>
      </c>
      <c r="F18" s="47">
        <v>106</v>
      </c>
      <c r="G18" s="47">
        <v>108</v>
      </c>
      <c r="H18" s="47">
        <v>1.036</v>
      </c>
      <c r="I18" s="151">
        <f t="shared" si="34"/>
        <v>39.411064842355749</v>
      </c>
      <c r="J18" s="43" t="s">
        <v>21</v>
      </c>
      <c r="K18" s="47">
        <f t="shared" si="35"/>
        <v>42.506792506792507</v>
      </c>
      <c r="L18" s="32" t="s">
        <v>298</v>
      </c>
      <c r="M18" s="32"/>
      <c r="N18" s="40"/>
      <c r="O18" s="30" t="str">
        <f t="shared" si="36"/>
        <v/>
      </c>
      <c r="P18" s="32"/>
      <c r="Q18" s="40"/>
      <c r="R18" s="30" t="str">
        <f t="shared" si="37"/>
        <v/>
      </c>
      <c r="S18" s="32"/>
      <c r="T18" s="40"/>
      <c r="U18" s="30" t="str">
        <f t="shared" si="38"/>
        <v/>
      </c>
      <c r="V18" s="32"/>
      <c r="W18" s="40"/>
      <c r="X18" s="30" t="str">
        <f t="shared" si="39"/>
        <v/>
      </c>
      <c r="Y18" s="40">
        <f t="shared" si="40"/>
        <v>0</v>
      </c>
      <c r="Z18" s="30" t="s">
        <v>96</v>
      </c>
      <c r="AA18" s="41"/>
      <c r="AB18" s="32" t="s">
        <v>298</v>
      </c>
      <c r="AC18" s="32">
        <v>34</v>
      </c>
      <c r="AD18" s="40">
        <v>4</v>
      </c>
      <c r="AE18" s="30">
        <f t="shared" si="42"/>
        <v>4</v>
      </c>
      <c r="AF18" s="32">
        <v>-5</v>
      </c>
      <c r="AG18" s="40">
        <v>0</v>
      </c>
      <c r="AH18" s="30">
        <f t="shared" si="43"/>
        <v>2</v>
      </c>
      <c r="AI18" s="32">
        <v>109</v>
      </c>
      <c r="AJ18" s="40">
        <v>4</v>
      </c>
      <c r="AK18" s="30">
        <f t="shared" si="44"/>
        <v>3</v>
      </c>
      <c r="AL18" s="32"/>
      <c r="AM18" s="40"/>
      <c r="AN18" s="30" t="str">
        <f t="shared" si="45"/>
        <v/>
      </c>
      <c r="AO18" s="32">
        <v>4</v>
      </c>
      <c r="AP18" s="40">
        <v>4</v>
      </c>
      <c r="AQ18" s="30">
        <f t="shared" si="46"/>
        <v>3</v>
      </c>
      <c r="AR18" s="32"/>
      <c r="AS18" s="40"/>
      <c r="AT18" s="30" t="str">
        <f t="shared" si="47"/>
        <v/>
      </c>
      <c r="AU18" s="40">
        <f t="shared" si="48"/>
        <v>12</v>
      </c>
      <c r="AV18" s="30">
        <f t="shared" si="49"/>
        <v>3</v>
      </c>
      <c r="AW18" s="40">
        <f t="shared" si="50"/>
        <v>12</v>
      </c>
      <c r="AX18" s="30">
        <f t="shared" si="51"/>
        <v>3</v>
      </c>
      <c r="AY18" s="41"/>
      <c r="AZ18" s="32" t="s">
        <v>298</v>
      </c>
      <c r="BA18" s="32"/>
      <c r="BB18" s="349"/>
      <c r="BC18" s="30" t="str">
        <f t="shared" si="68"/>
        <v/>
      </c>
      <c r="BD18" s="32"/>
      <c r="BE18" s="349"/>
      <c r="BF18" s="30" t="str">
        <f t="shared" si="69"/>
        <v/>
      </c>
      <c r="BG18" s="31">
        <v>17</v>
      </c>
      <c r="BH18" s="344">
        <v>17</v>
      </c>
      <c r="BI18" s="30">
        <f t="shared" si="52"/>
        <v>5</v>
      </c>
      <c r="BJ18" s="31">
        <v>5</v>
      </c>
      <c r="BK18" s="344">
        <v>0</v>
      </c>
      <c r="BL18" s="30">
        <f t="shared" si="53"/>
        <v>2</v>
      </c>
      <c r="BM18" s="31">
        <v>5</v>
      </c>
      <c r="BN18" s="344">
        <v>17</v>
      </c>
      <c r="BO18" s="30">
        <f t="shared" si="54"/>
        <v>5</v>
      </c>
      <c r="BP18" s="40">
        <f t="shared" si="55"/>
        <v>34</v>
      </c>
      <c r="BQ18" s="30">
        <f t="shared" si="56"/>
        <v>4</v>
      </c>
      <c r="BR18" s="40">
        <f t="shared" si="57"/>
        <v>46</v>
      </c>
      <c r="BS18" s="41"/>
      <c r="BT18" s="31"/>
      <c r="BU18" s="344"/>
      <c r="BV18" s="30" t="str">
        <f t="shared" si="58"/>
        <v/>
      </c>
      <c r="BW18" s="31"/>
      <c r="BX18" s="344"/>
      <c r="BY18" s="30" t="str">
        <f t="shared" si="59"/>
        <v/>
      </c>
      <c r="BZ18" s="31">
        <v>17</v>
      </c>
      <c r="CA18" s="344">
        <v>4</v>
      </c>
      <c r="CB18" s="30">
        <f t="shared" si="60"/>
        <v>3</v>
      </c>
      <c r="CC18" s="31">
        <v>7</v>
      </c>
      <c r="CD18" s="344">
        <v>4</v>
      </c>
      <c r="CE18" s="30">
        <f t="shared" si="61"/>
        <v>3</v>
      </c>
      <c r="CF18" s="40">
        <f t="shared" si="62"/>
        <v>8</v>
      </c>
      <c r="CG18" s="30">
        <f t="shared" si="63"/>
        <v>3</v>
      </c>
      <c r="CH18" s="40">
        <f t="shared" si="64"/>
        <v>42</v>
      </c>
      <c r="CI18" s="30">
        <f t="shared" si="65"/>
        <v>4</v>
      </c>
      <c r="CJ18" s="40">
        <f t="shared" si="66"/>
        <v>54</v>
      </c>
      <c r="CK18" s="30">
        <f t="shared" si="67"/>
        <v>3</v>
      </c>
      <c r="CL18" s="41"/>
      <c r="CM18" s="32" t="s">
        <v>298</v>
      </c>
    </row>
    <row r="19" spans="1:91">
      <c r="A19" s="3"/>
      <c r="B19" s="32" t="s">
        <v>299</v>
      </c>
      <c r="C19" s="150">
        <v>33400</v>
      </c>
      <c r="D19" s="47" t="s">
        <v>19</v>
      </c>
      <c r="E19" s="47">
        <v>165</v>
      </c>
      <c r="F19" s="47">
        <v>52</v>
      </c>
      <c r="G19" s="47">
        <v>71</v>
      </c>
      <c r="H19" s="47">
        <v>0.99199999999999999</v>
      </c>
      <c r="I19" s="151">
        <f t="shared" si="34"/>
        <v>19.100091827364558</v>
      </c>
      <c r="J19" s="43" t="s">
        <v>30</v>
      </c>
      <c r="K19" s="47">
        <f t="shared" si="35"/>
        <v>132.36171058609722</v>
      </c>
      <c r="L19" s="32" t="s">
        <v>299</v>
      </c>
      <c r="M19" s="32">
        <v>150</v>
      </c>
      <c r="N19" s="40">
        <v>0</v>
      </c>
      <c r="O19" s="30">
        <f t="shared" si="36"/>
        <v>2</v>
      </c>
      <c r="P19" s="32"/>
      <c r="Q19" s="40"/>
      <c r="R19" s="30" t="str">
        <f t="shared" si="37"/>
        <v/>
      </c>
      <c r="S19" s="32"/>
      <c r="T19" s="40"/>
      <c r="U19" s="30" t="str">
        <f t="shared" si="38"/>
        <v/>
      </c>
      <c r="V19" s="32"/>
      <c r="W19" s="40"/>
      <c r="X19" s="30" t="str">
        <f t="shared" si="39"/>
        <v/>
      </c>
      <c r="Y19" s="40">
        <f t="shared" si="40"/>
        <v>0</v>
      </c>
      <c r="Z19" s="30" t="s">
        <v>96</v>
      </c>
      <c r="AA19" s="41"/>
      <c r="AB19" s="32" t="s">
        <v>299</v>
      </c>
      <c r="AC19" s="32">
        <v>31</v>
      </c>
      <c r="AD19" s="40">
        <v>5</v>
      </c>
      <c r="AE19" s="30">
        <f t="shared" si="42"/>
        <v>4</v>
      </c>
      <c r="AF19" s="32">
        <v>16</v>
      </c>
      <c r="AG19" s="40">
        <v>8</v>
      </c>
      <c r="AH19" s="30">
        <f t="shared" si="43"/>
        <v>4</v>
      </c>
      <c r="AI19" s="32">
        <v>96</v>
      </c>
      <c r="AJ19" s="40">
        <v>2</v>
      </c>
      <c r="AK19" s="30">
        <f t="shared" si="44"/>
        <v>3</v>
      </c>
      <c r="AL19" s="32"/>
      <c r="AM19" s="40"/>
      <c r="AN19" s="30" t="str">
        <f t="shared" si="45"/>
        <v/>
      </c>
      <c r="AO19" s="32"/>
      <c r="AP19" s="40"/>
      <c r="AQ19" s="30" t="str">
        <f t="shared" si="46"/>
        <v/>
      </c>
      <c r="AR19" s="32"/>
      <c r="AS19" s="40"/>
      <c r="AT19" s="30" t="str">
        <f t="shared" si="47"/>
        <v/>
      </c>
      <c r="AU19" s="40">
        <f t="shared" si="48"/>
        <v>15</v>
      </c>
      <c r="AV19" s="30">
        <f t="shared" si="49"/>
        <v>3</v>
      </c>
      <c r="AW19" s="40">
        <f t="shared" si="50"/>
        <v>15</v>
      </c>
      <c r="AX19" s="30">
        <f t="shared" si="51"/>
        <v>3</v>
      </c>
      <c r="AY19" s="41"/>
      <c r="AZ19" s="32" t="s">
        <v>299</v>
      </c>
      <c r="BA19" s="32"/>
      <c r="BB19" s="349"/>
      <c r="BC19" s="30" t="str">
        <f t="shared" si="68"/>
        <v/>
      </c>
      <c r="BD19" s="32"/>
      <c r="BE19" s="349"/>
      <c r="BF19" s="30" t="str">
        <f t="shared" si="69"/>
        <v/>
      </c>
      <c r="BG19" s="31">
        <v>7</v>
      </c>
      <c r="BH19" s="344">
        <v>3</v>
      </c>
      <c r="BI19" s="30">
        <f t="shared" si="52"/>
        <v>3</v>
      </c>
      <c r="BJ19" s="31">
        <v>3</v>
      </c>
      <c r="BK19" s="344">
        <v>0</v>
      </c>
      <c r="BL19" s="30">
        <f t="shared" si="53"/>
        <v>2</v>
      </c>
      <c r="BM19" s="31">
        <v>1</v>
      </c>
      <c r="BN19" s="344">
        <v>1</v>
      </c>
      <c r="BO19" s="30">
        <f t="shared" si="54"/>
        <v>3</v>
      </c>
      <c r="BP19" s="40">
        <f t="shared" si="55"/>
        <v>4</v>
      </c>
      <c r="BQ19" s="30">
        <f t="shared" si="56"/>
        <v>2</v>
      </c>
      <c r="BR19" s="40">
        <f t="shared" si="57"/>
        <v>19</v>
      </c>
      <c r="BS19" s="41"/>
      <c r="BT19" s="31"/>
      <c r="BU19" s="344"/>
      <c r="BV19" s="30" t="str">
        <f t="shared" si="58"/>
        <v/>
      </c>
      <c r="BW19" s="31"/>
      <c r="BX19" s="344"/>
      <c r="BY19" s="30" t="str">
        <f t="shared" si="59"/>
        <v/>
      </c>
      <c r="BZ19" s="31">
        <v>17</v>
      </c>
      <c r="CA19" s="344">
        <v>4</v>
      </c>
      <c r="CB19" s="30">
        <f t="shared" si="60"/>
        <v>3</v>
      </c>
      <c r="CC19" s="31">
        <v>7</v>
      </c>
      <c r="CD19" s="344">
        <v>4</v>
      </c>
      <c r="CE19" s="30">
        <f t="shared" si="61"/>
        <v>3</v>
      </c>
      <c r="CF19" s="40">
        <f t="shared" si="62"/>
        <v>8</v>
      </c>
      <c r="CG19" s="30">
        <f t="shared" si="63"/>
        <v>3</v>
      </c>
      <c r="CH19" s="40">
        <f t="shared" si="64"/>
        <v>12</v>
      </c>
      <c r="CI19" s="30">
        <f t="shared" si="65"/>
        <v>3</v>
      </c>
      <c r="CJ19" s="40">
        <f t="shared" si="66"/>
        <v>27</v>
      </c>
      <c r="CK19" s="30">
        <f t="shared" si="67"/>
        <v>3</v>
      </c>
      <c r="CL19" s="41"/>
      <c r="CM19" s="32" t="s">
        <v>299</v>
      </c>
    </row>
    <row r="20" spans="1:91">
      <c r="A20" s="3"/>
      <c r="B20" s="3" t="s">
        <v>300</v>
      </c>
      <c r="C20" s="184">
        <v>33690</v>
      </c>
      <c r="D20" s="10" t="s">
        <v>19</v>
      </c>
      <c r="E20" s="47">
        <v>166</v>
      </c>
      <c r="F20" s="47">
        <v>68</v>
      </c>
      <c r="G20" s="47">
        <v>88</v>
      </c>
      <c r="H20" s="47">
        <v>1.036</v>
      </c>
      <c r="I20" s="151">
        <f t="shared" si="34"/>
        <v>24.677021338365513</v>
      </c>
      <c r="J20" s="43" t="s">
        <v>24</v>
      </c>
      <c r="K20" s="47">
        <f t="shared" si="35"/>
        <v>89.219901719901713</v>
      </c>
      <c r="L20" s="3" t="s">
        <v>300</v>
      </c>
      <c r="M20" s="32"/>
      <c r="N20" s="40"/>
      <c r="O20" s="30" t="str">
        <f t="shared" si="36"/>
        <v/>
      </c>
      <c r="P20" s="32"/>
      <c r="Q20" s="40"/>
      <c r="R20" s="30" t="str">
        <f t="shared" si="37"/>
        <v/>
      </c>
      <c r="S20" s="32"/>
      <c r="T20" s="40"/>
      <c r="U20" s="30" t="str">
        <f t="shared" si="38"/>
        <v/>
      </c>
      <c r="V20" s="32"/>
      <c r="W20" s="40"/>
      <c r="X20" s="30" t="str">
        <f t="shared" si="39"/>
        <v/>
      </c>
      <c r="Y20" s="40">
        <f t="shared" si="40"/>
        <v>0</v>
      </c>
      <c r="Z20" s="30" t="s">
        <v>96</v>
      </c>
      <c r="AA20" s="41"/>
      <c r="AB20" s="3" t="s">
        <v>300</v>
      </c>
      <c r="AC20" s="32">
        <v>31</v>
      </c>
      <c r="AD20" s="40">
        <v>5</v>
      </c>
      <c r="AE20" s="30">
        <f t="shared" si="42"/>
        <v>4</v>
      </c>
      <c r="AF20" s="32">
        <v>-1</v>
      </c>
      <c r="AG20" s="40">
        <v>0</v>
      </c>
      <c r="AH20" s="30">
        <f t="shared" si="43"/>
        <v>2</v>
      </c>
      <c r="AI20" s="32">
        <v>110</v>
      </c>
      <c r="AJ20" s="40">
        <v>5</v>
      </c>
      <c r="AK20" s="30">
        <f t="shared" si="44"/>
        <v>4</v>
      </c>
      <c r="AL20" s="32">
        <v>1</v>
      </c>
      <c r="AM20" s="40">
        <v>0</v>
      </c>
      <c r="AN20" s="30">
        <f t="shared" si="45"/>
        <v>2</v>
      </c>
      <c r="AO20" s="32"/>
      <c r="AP20" s="40"/>
      <c r="AQ20" s="30" t="str">
        <f t="shared" si="46"/>
        <v/>
      </c>
      <c r="AR20" s="32"/>
      <c r="AS20" s="40"/>
      <c r="AT20" s="30" t="str">
        <f t="shared" si="47"/>
        <v/>
      </c>
      <c r="AU20" s="40">
        <f t="shared" si="48"/>
        <v>10</v>
      </c>
      <c r="AV20" s="30">
        <f t="shared" si="49"/>
        <v>3</v>
      </c>
      <c r="AW20" s="40">
        <f t="shared" si="50"/>
        <v>10</v>
      </c>
      <c r="AX20" s="30">
        <f t="shared" si="51"/>
        <v>3</v>
      </c>
      <c r="AY20" s="41"/>
      <c r="AZ20" s="3" t="s">
        <v>300</v>
      </c>
      <c r="BA20" s="32"/>
      <c r="BB20" s="349"/>
      <c r="BC20" s="30" t="str">
        <f t="shared" si="68"/>
        <v/>
      </c>
      <c r="BD20" s="32"/>
      <c r="BE20" s="349"/>
      <c r="BF20" s="30" t="str">
        <f t="shared" si="69"/>
        <v/>
      </c>
      <c r="BG20" s="31">
        <v>6</v>
      </c>
      <c r="BH20" s="344">
        <v>1</v>
      </c>
      <c r="BI20" s="30">
        <f t="shared" si="52"/>
        <v>3</v>
      </c>
      <c r="BJ20" s="31">
        <v>6</v>
      </c>
      <c r="BK20" s="344">
        <v>1</v>
      </c>
      <c r="BL20" s="30">
        <f t="shared" si="53"/>
        <v>3</v>
      </c>
      <c r="BM20" s="31">
        <v>2</v>
      </c>
      <c r="BN20" s="344">
        <v>5</v>
      </c>
      <c r="BO20" s="30">
        <f t="shared" si="54"/>
        <v>4</v>
      </c>
      <c r="BP20" s="40">
        <f t="shared" si="55"/>
        <v>7</v>
      </c>
      <c r="BQ20" s="30">
        <f t="shared" si="56"/>
        <v>3</v>
      </c>
      <c r="BR20" s="40">
        <f t="shared" si="57"/>
        <v>17</v>
      </c>
      <c r="BS20" s="41"/>
      <c r="BT20" s="31"/>
      <c r="BU20" s="344"/>
      <c r="BV20" s="30" t="str">
        <f t="shared" si="58"/>
        <v/>
      </c>
      <c r="BW20" s="31"/>
      <c r="BX20" s="344"/>
      <c r="BY20" s="30" t="str">
        <f t="shared" si="59"/>
        <v/>
      </c>
      <c r="BZ20" s="31">
        <v>17</v>
      </c>
      <c r="CA20" s="344">
        <v>4</v>
      </c>
      <c r="CB20" s="30">
        <f t="shared" si="60"/>
        <v>3</v>
      </c>
      <c r="CC20" s="31">
        <v>7</v>
      </c>
      <c r="CD20" s="344">
        <v>4</v>
      </c>
      <c r="CE20" s="30">
        <f t="shared" si="61"/>
        <v>3</v>
      </c>
      <c r="CF20" s="40">
        <f t="shared" si="62"/>
        <v>8</v>
      </c>
      <c r="CG20" s="30">
        <f t="shared" si="63"/>
        <v>3</v>
      </c>
      <c r="CH20" s="40">
        <f t="shared" si="64"/>
        <v>15</v>
      </c>
      <c r="CI20" s="30">
        <f t="shared" si="65"/>
        <v>3</v>
      </c>
      <c r="CJ20" s="40">
        <f t="shared" si="66"/>
        <v>25</v>
      </c>
      <c r="CK20" s="30">
        <f t="shared" si="67"/>
        <v>3</v>
      </c>
      <c r="CL20" s="41"/>
      <c r="CM20" s="3" t="s">
        <v>300</v>
      </c>
    </row>
    <row r="21" spans="1:91">
      <c r="A21" s="3"/>
      <c r="B21" s="3" t="s">
        <v>301</v>
      </c>
      <c r="C21" s="184">
        <v>33134</v>
      </c>
      <c r="D21" s="10" t="s">
        <v>19</v>
      </c>
      <c r="E21" s="47">
        <v>155</v>
      </c>
      <c r="F21" s="47">
        <v>70</v>
      </c>
      <c r="G21" s="47">
        <v>88</v>
      </c>
      <c r="H21" s="47">
        <v>0.99199999999999999</v>
      </c>
      <c r="I21" s="151">
        <f t="shared" si="34"/>
        <v>29.136316337148799</v>
      </c>
      <c r="J21" s="43" t="s">
        <v>21</v>
      </c>
      <c r="K21" s="47">
        <f t="shared" si="35"/>
        <v>75.461647727272734</v>
      </c>
      <c r="L21" s="3" t="s">
        <v>301</v>
      </c>
      <c r="M21" s="32">
        <v>112</v>
      </c>
      <c r="N21" s="40">
        <v>0</v>
      </c>
      <c r="O21" s="30">
        <f t="shared" si="36"/>
        <v>2</v>
      </c>
      <c r="P21" s="32">
        <v>5.6000000000000005</v>
      </c>
      <c r="Q21" s="40">
        <v>4</v>
      </c>
      <c r="R21" s="30">
        <f t="shared" si="37"/>
        <v>3</v>
      </c>
      <c r="S21" s="32">
        <v>12.700000000000001</v>
      </c>
      <c r="T21" s="40">
        <v>0</v>
      </c>
      <c r="U21" s="30">
        <f t="shared" si="38"/>
        <v>2</v>
      </c>
      <c r="V21" s="32">
        <v>800</v>
      </c>
      <c r="W21" s="40">
        <v>0</v>
      </c>
      <c r="X21" s="30">
        <f t="shared" si="39"/>
        <v>2</v>
      </c>
      <c r="Y21" s="40">
        <f t="shared" si="40"/>
        <v>4</v>
      </c>
      <c r="Z21" s="30">
        <f>IF(Y21=0,"",IF(Y21&lt;4,2,IF(AND(Y21&gt;=4,Y21&lt;16),3,IF(AND(Y21&gt;=16,Y21&lt;30),4,IF(AND(Y21&gt;=30),5)))))</f>
        <v>3</v>
      </c>
      <c r="AA21" s="41"/>
      <c r="AB21" s="3" t="s">
        <v>301</v>
      </c>
      <c r="AC21" s="32">
        <v>27</v>
      </c>
      <c r="AD21" s="40">
        <v>2</v>
      </c>
      <c r="AE21" s="30">
        <f t="shared" si="42"/>
        <v>3</v>
      </c>
      <c r="AF21" s="32">
        <v>-5</v>
      </c>
      <c r="AG21" s="40">
        <v>0</v>
      </c>
      <c r="AH21" s="30">
        <f t="shared" si="43"/>
        <v>2</v>
      </c>
      <c r="AI21" s="32">
        <v>109</v>
      </c>
      <c r="AJ21" s="40">
        <v>4</v>
      </c>
      <c r="AK21" s="30">
        <f t="shared" si="44"/>
        <v>3</v>
      </c>
      <c r="AL21" s="32"/>
      <c r="AM21" s="40"/>
      <c r="AN21" s="30" t="str">
        <f t="shared" si="45"/>
        <v/>
      </c>
      <c r="AO21" s="32"/>
      <c r="AP21" s="40"/>
      <c r="AQ21" s="30" t="str">
        <f t="shared" si="46"/>
        <v/>
      </c>
      <c r="AR21" s="45">
        <v>1</v>
      </c>
      <c r="AS21" s="40">
        <v>1</v>
      </c>
      <c r="AT21" s="30">
        <f t="shared" si="47"/>
        <v>3</v>
      </c>
      <c r="AU21" s="40">
        <f t="shared" si="48"/>
        <v>7</v>
      </c>
      <c r="AV21" s="30">
        <f t="shared" si="49"/>
        <v>3</v>
      </c>
      <c r="AW21" s="40">
        <f t="shared" si="50"/>
        <v>11</v>
      </c>
      <c r="AX21" s="30">
        <f t="shared" si="51"/>
        <v>3</v>
      </c>
      <c r="AY21" s="41"/>
      <c r="AZ21" s="3" t="s">
        <v>301</v>
      </c>
      <c r="BA21" s="32"/>
      <c r="BB21" s="349"/>
      <c r="BC21" s="30" t="str">
        <f t="shared" si="68"/>
        <v/>
      </c>
      <c r="BD21" s="32"/>
      <c r="BE21" s="349"/>
      <c r="BF21" s="30" t="str">
        <f t="shared" si="69"/>
        <v/>
      </c>
      <c r="BG21" s="31">
        <v>3</v>
      </c>
      <c r="BH21" s="344">
        <v>0</v>
      </c>
      <c r="BI21" s="30">
        <f t="shared" si="52"/>
        <v>2</v>
      </c>
      <c r="BJ21" s="31">
        <v>3</v>
      </c>
      <c r="BK21" s="344">
        <v>0</v>
      </c>
      <c r="BL21" s="30">
        <f t="shared" si="53"/>
        <v>2</v>
      </c>
      <c r="BM21" s="31">
        <v>2</v>
      </c>
      <c r="BN21" s="344">
        <v>5</v>
      </c>
      <c r="BO21" s="30">
        <f t="shared" si="54"/>
        <v>4</v>
      </c>
      <c r="BP21" s="40">
        <f t="shared" si="55"/>
        <v>5</v>
      </c>
      <c r="BQ21" s="30">
        <f t="shared" si="56"/>
        <v>3</v>
      </c>
      <c r="BR21" s="40">
        <f t="shared" si="57"/>
        <v>16</v>
      </c>
      <c r="BS21" s="41"/>
      <c r="BT21" s="31"/>
      <c r="BU21" s="344"/>
      <c r="BV21" s="30" t="str">
        <f t="shared" si="58"/>
        <v/>
      </c>
      <c r="BW21" s="31"/>
      <c r="BX21" s="344"/>
      <c r="BY21" s="30" t="str">
        <f t="shared" si="59"/>
        <v/>
      </c>
      <c r="BZ21" s="31">
        <v>16</v>
      </c>
      <c r="CA21" s="344">
        <v>3</v>
      </c>
      <c r="CB21" s="30">
        <f t="shared" si="60"/>
        <v>3</v>
      </c>
      <c r="CC21" s="31">
        <v>6</v>
      </c>
      <c r="CD21" s="344">
        <v>3</v>
      </c>
      <c r="CE21" s="30">
        <f t="shared" si="61"/>
        <v>3</v>
      </c>
      <c r="CF21" s="40">
        <f t="shared" si="62"/>
        <v>6</v>
      </c>
      <c r="CG21" s="30">
        <f t="shared" si="63"/>
        <v>3</v>
      </c>
      <c r="CH21" s="40">
        <f t="shared" si="64"/>
        <v>11</v>
      </c>
      <c r="CI21" s="30">
        <f t="shared" si="65"/>
        <v>3</v>
      </c>
      <c r="CJ21" s="40">
        <f t="shared" si="66"/>
        <v>22</v>
      </c>
      <c r="CK21" s="30">
        <f t="shared" si="67"/>
        <v>3</v>
      </c>
      <c r="CL21" s="41"/>
      <c r="CM21" s="3" t="s">
        <v>301</v>
      </c>
    </row>
    <row r="22" spans="1:91">
      <c r="A22" s="104"/>
      <c r="B22" s="34" t="s">
        <v>302</v>
      </c>
      <c r="C22" s="197"/>
      <c r="D22" s="13"/>
      <c r="E22" s="47"/>
      <c r="F22" s="47"/>
      <c r="G22" s="47"/>
      <c r="H22" s="47"/>
      <c r="I22" s="151"/>
      <c r="J22" s="43"/>
      <c r="K22" s="47"/>
      <c r="L22" s="34" t="s">
        <v>302</v>
      </c>
      <c r="M22" s="32"/>
      <c r="N22" s="40"/>
      <c r="O22" s="30" t="str">
        <f t="shared" si="36"/>
        <v/>
      </c>
      <c r="P22" s="32"/>
      <c r="Q22" s="40"/>
      <c r="R22" s="30" t="str">
        <f t="shared" si="37"/>
        <v/>
      </c>
      <c r="S22" s="32"/>
      <c r="T22" s="40"/>
      <c r="U22" s="30" t="str">
        <f t="shared" si="38"/>
        <v/>
      </c>
      <c r="V22" s="32"/>
      <c r="W22" s="40"/>
      <c r="X22" s="30" t="str">
        <f t="shared" si="39"/>
        <v/>
      </c>
      <c r="Y22" s="40">
        <f t="shared" si="40"/>
        <v>0</v>
      </c>
      <c r="Z22" s="30" t="str">
        <f>IF(Y22=0,"",IF(Y22&lt;4,2,IF(AND(Y22&gt;=4,Y22&lt;16),3,IF(AND(Y22&gt;=16,Y22&lt;30),4,IF(AND(Y22&gt;=30),5)))))</f>
        <v/>
      </c>
      <c r="AA22" s="41"/>
      <c r="AB22" s="34" t="s">
        <v>302</v>
      </c>
      <c r="AC22" s="32"/>
      <c r="AD22" s="40"/>
      <c r="AE22" s="30" t="str">
        <f t="shared" si="42"/>
        <v/>
      </c>
      <c r="AF22" s="32"/>
      <c r="AG22" s="40"/>
      <c r="AH22" s="30" t="str">
        <f t="shared" si="43"/>
        <v/>
      </c>
      <c r="AI22" s="32"/>
      <c r="AJ22" s="40"/>
      <c r="AK22" s="30" t="str">
        <f t="shared" si="44"/>
        <v/>
      </c>
      <c r="AL22" s="32"/>
      <c r="AM22" s="40"/>
      <c r="AN22" s="30" t="str">
        <f t="shared" si="45"/>
        <v/>
      </c>
      <c r="AO22" s="32"/>
      <c r="AP22" s="40"/>
      <c r="AQ22" s="30" t="str">
        <f t="shared" si="46"/>
        <v/>
      </c>
      <c r="AR22" s="32"/>
      <c r="AS22" s="40"/>
      <c r="AT22" s="30" t="str">
        <f t="shared" si="47"/>
        <v/>
      </c>
      <c r="AU22" s="40">
        <f t="shared" si="48"/>
        <v>0</v>
      </c>
      <c r="AV22" s="30" t="str">
        <f t="shared" si="49"/>
        <v/>
      </c>
      <c r="AW22" s="40">
        <f t="shared" si="50"/>
        <v>0</v>
      </c>
      <c r="AX22" s="30" t="s">
        <v>96</v>
      </c>
      <c r="AY22" s="41"/>
      <c r="AZ22" s="34" t="s">
        <v>302</v>
      </c>
      <c r="BA22" s="32"/>
      <c r="BB22" s="349"/>
      <c r="BC22" s="30" t="str">
        <f t="shared" si="68"/>
        <v/>
      </c>
      <c r="BD22" s="32"/>
      <c r="BE22" s="349"/>
      <c r="BF22" s="30" t="str">
        <f t="shared" si="69"/>
        <v/>
      </c>
      <c r="BG22" s="31"/>
      <c r="BH22" s="344"/>
      <c r="BI22" s="30" t="str">
        <f t="shared" si="52"/>
        <v/>
      </c>
      <c r="BJ22" s="31"/>
      <c r="BK22" s="344"/>
      <c r="BL22" s="30" t="str">
        <f t="shared" si="53"/>
        <v/>
      </c>
      <c r="BM22" s="31"/>
      <c r="BN22" s="344"/>
      <c r="BO22" s="30" t="str">
        <f t="shared" si="54"/>
        <v/>
      </c>
      <c r="BP22" s="40">
        <f t="shared" si="55"/>
        <v>0</v>
      </c>
      <c r="BQ22" s="30" t="s">
        <v>96</v>
      </c>
      <c r="BR22" s="40">
        <f t="shared" si="57"/>
        <v>0</v>
      </c>
      <c r="BS22" s="41"/>
      <c r="BT22" s="31"/>
      <c r="BU22" s="344"/>
      <c r="BV22" s="30" t="str">
        <f t="shared" si="58"/>
        <v/>
      </c>
      <c r="BW22" s="31"/>
      <c r="BX22" s="344"/>
      <c r="BY22" s="30" t="str">
        <f t="shared" si="59"/>
        <v/>
      </c>
      <c r="BZ22" s="31"/>
      <c r="CA22" s="344"/>
      <c r="CB22" s="30" t="str">
        <f t="shared" si="60"/>
        <v/>
      </c>
      <c r="CC22" s="31"/>
      <c r="CD22" s="344"/>
      <c r="CE22" s="30" t="str">
        <f t="shared" si="61"/>
        <v/>
      </c>
      <c r="CF22" s="40">
        <f t="shared" si="62"/>
        <v>0</v>
      </c>
      <c r="CG22" s="30" t="str">
        <f t="shared" si="63"/>
        <v/>
      </c>
      <c r="CH22" s="40">
        <f t="shared" si="64"/>
        <v>0</v>
      </c>
      <c r="CI22" s="30" t="s">
        <v>96</v>
      </c>
      <c r="CJ22" s="40">
        <f t="shared" si="66"/>
        <v>0</v>
      </c>
      <c r="CK22" s="30" t="s">
        <v>96</v>
      </c>
      <c r="CL22" s="41"/>
      <c r="CM22" s="34" t="s">
        <v>302</v>
      </c>
    </row>
    <row r="23" spans="1:91">
      <c r="A23" s="334"/>
      <c r="B23" s="335"/>
      <c r="C23" s="110"/>
      <c r="D23" s="110"/>
      <c r="E23" s="170"/>
      <c r="F23" s="170"/>
      <c r="G23" s="170"/>
      <c r="H23" s="170"/>
      <c r="I23" s="170"/>
      <c r="J23" s="170"/>
      <c r="K23" s="170"/>
      <c r="L23" s="157"/>
      <c r="M23" s="158"/>
      <c r="N23" s="158"/>
      <c r="O23" s="37"/>
      <c r="P23" s="158"/>
      <c r="Q23" s="158"/>
      <c r="R23" s="37"/>
      <c r="S23" s="158"/>
      <c r="T23" s="158"/>
      <c r="U23" s="37"/>
      <c r="V23" s="158"/>
      <c r="W23" s="158"/>
      <c r="X23" s="37"/>
      <c r="Y23" s="158"/>
      <c r="Z23" s="125"/>
      <c r="AA23" s="125"/>
      <c r="AB23" s="81"/>
      <c r="AC23" s="110"/>
      <c r="AD23" s="110"/>
      <c r="AE23" s="125"/>
      <c r="AF23" s="110"/>
      <c r="AG23" s="110"/>
      <c r="AH23" s="125"/>
      <c r="AI23" s="110"/>
      <c r="AJ23" s="110"/>
      <c r="AK23" s="125"/>
      <c r="AL23" s="110"/>
      <c r="AM23" s="110"/>
      <c r="AN23" s="125"/>
      <c r="AO23" s="110"/>
      <c r="AP23" s="110"/>
      <c r="AQ23" s="125"/>
      <c r="AR23" s="110"/>
      <c r="AS23" s="110"/>
      <c r="AT23" s="125"/>
      <c r="AU23" s="110"/>
      <c r="AV23" s="125"/>
      <c r="AW23" s="110"/>
      <c r="AX23" s="198"/>
      <c r="AY23" s="125"/>
      <c r="AZ23" s="81"/>
      <c r="BA23" s="159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115"/>
      <c r="CL23" s="115"/>
      <c r="CM23" s="106"/>
    </row>
    <row r="24" spans="1:91">
      <c r="A24" s="315"/>
      <c r="B24" s="316"/>
      <c r="C24" s="247" t="s">
        <v>19</v>
      </c>
      <c r="D24" s="248">
        <f>COUNTIF(D3:D22,"осн.")</f>
        <v>14</v>
      </c>
      <c r="E24" s="249"/>
      <c r="F24" s="217"/>
      <c r="G24" s="217"/>
      <c r="H24" s="217"/>
      <c r="I24" s="217"/>
      <c r="J24" s="217"/>
      <c r="K24" s="228"/>
      <c r="L24" s="62" t="s">
        <v>18</v>
      </c>
      <c r="M24" s="45"/>
      <c r="N24" s="45"/>
      <c r="O24" s="30">
        <f>AVERAGE(O3:O22)</f>
        <v>3.5</v>
      </c>
      <c r="P24" s="45"/>
      <c r="Q24" s="45"/>
      <c r="R24" s="30">
        <f>AVERAGE(R3:R22)</f>
        <v>4.4285714285714288</v>
      </c>
      <c r="S24" s="45"/>
      <c r="T24" s="45"/>
      <c r="U24" s="30">
        <f>AVERAGE(U3:U22)</f>
        <v>3.9333333333333331</v>
      </c>
      <c r="V24" s="45"/>
      <c r="W24" s="45"/>
      <c r="X24" s="30">
        <f>AVERAGE(X3:X22)</f>
        <v>4.6428571428571432</v>
      </c>
      <c r="Y24" s="45"/>
      <c r="Z24" s="30">
        <f>AVERAGE(O24:X24)</f>
        <v>4.1261904761904766</v>
      </c>
      <c r="AA24" s="33"/>
      <c r="AB24" s="45" t="s">
        <v>18</v>
      </c>
      <c r="AC24" s="45"/>
      <c r="AD24" s="45"/>
      <c r="AE24" s="30">
        <f>AVERAGE(AE3:AE22)</f>
        <v>4.166666666666667</v>
      </c>
      <c r="AF24" s="45"/>
      <c r="AG24" s="45"/>
      <c r="AH24" s="30">
        <f>AVERAGE(AH3:AH22)</f>
        <v>3.5555555555555554</v>
      </c>
      <c r="AI24" s="45"/>
      <c r="AJ24" s="45"/>
      <c r="AK24" s="30">
        <f>AVERAGE(AK3:AK22)</f>
        <v>4</v>
      </c>
      <c r="AL24" s="45"/>
      <c r="AM24" s="45"/>
      <c r="AN24" s="30">
        <f>AVERAGE(AN3:AN22)</f>
        <v>3.1428571428571428</v>
      </c>
      <c r="AO24" s="45"/>
      <c r="AP24" s="45"/>
      <c r="AQ24" s="30">
        <f>AVERAGE(AQ3:AQ22)</f>
        <v>4.2</v>
      </c>
      <c r="AR24" s="45"/>
      <c r="AS24" s="45"/>
      <c r="AT24" s="30">
        <f>AVERAGE(AT3:AT22)</f>
        <v>4.416666666666667</v>
      </c>
      <c r="AU24" s="45"/>
      <c r="AV24" s="30">
        <f>AVERAGE(AE24:AT24)</f>
        <v>3.9136243386243383</v>
      </c>
      <c r="AW24" s="45"/>
      <c r="AX24" s="30">
        <f>AVERAGE(Z24,AV24)</f>
        <v>4.0199074074074073</v>
      </c>
      <c r="AY24" s="199"/>
      <c r="AZ24" s="87" t="s">
        <v>18</v>
      </c>
      <c r="BA24" s="65"/>
      <c r="BB24" s="65"/>
      <c r="BC24" s="30">
        <f>AVERAGE(BC3:BC22)</f>
        <v>3.6923076923076925</v>
      </c>
      <c r="BD24" s="65"/>
      <c r="BE24" s="65"/>
      <c r="BF24" s="30">
        <f>AVERAGE(BF3:BF22)</f>
        <v>3.6153846153846154</v>
      </c>
      <c r="BG24" s="65"/>
      <c r="BH24" s="65"/>
      <c r="BI24" s="30">
        <f>AVERAGE(BI3:BI17)</f>
        <v>4.5714285714285712</v>
      </c>
      <c r="BJ24" s="65"/>
      <c r="BK24" s="65"/>
      <c r="BL24" s="30">
        <f>AVERAGE(BL3:BL17)</f>
        <v>4.2142857142857144</v>
      </c>
      <c r="BM24" s="65"/>
      <c r="BN24" s="65"/>
      <c r="BO24" s="30">
        <f>AVERAGE(BO4:BO17)</f>
        <v>4.9230769230769234</v>
      </c>
      <c r="BP24" s="65"/>
      <c r="BQ24" s="30">
        <f>AVERAGE(BC24:BO24)</f>
        <v>4.2032967032967035</v>
      </c>
      <c r="BR24" s="65"/>
      <c r="BS24" s="65"/>
      <c r="BT24" s="65"/>
      <c r="BU24" s="65"/>
      <c r="BV24" s="30">
        <f>AVERAGE(BV3:BV17)</f>
        <v>3.5714285714285716</v>
      </c>
      <c r="BW24" s="65"/>
      <c r="BX24" s="65"/>
      <c r="BY24" s="30">
        <f>AVERAGE(BY3:BY17)</f>
        <v>3.75</v>
      </c>
      <c r="BZ24" s="65"/>
      <c r="CA24" s="65"/>
      <c r="CB24" s="30">
        <f>AVERAGE(CB3:CB17)</f>
        <v>3.6428571428571428</v>
      </c>
      <c r="CC24" s="65"/>
      <c r="CD24" s="65"/>
      <c r="CE24" s="30">
        <f>AVERAGE(CE3:CE17)</f>
        <v>4.1428571428571432</v>
      </c>
      <c r="CF24" s="65"/>
      <c r="CG24" s="30">
        <f>AVERAGE(BV24:CE24)</f>
        <v>3.7767857142857144</v>
      </c>
      <c r="CH24" s="65"/>
      <c r="CI24" s="30">
        <f>AVERAGE(BQ24,CG24)</f>
        <v>3.9900412087912089</v>
      </c>
      <c r="CJ24" s="65"/>
      <c r="CK24" s="30">
        <f>AVERAGE(AX24,CI24)</f>
        <v>4.0049743080993085</v>
      </c>
      <c r="CL24" s="33"/>
      <c r="CM24" s="45" t="s">
        <v>18</v>
      </c>
    </row>
    <row r="25" spans="1:91">
      <c r="A25" s="315"/>
      <c r="B25" s="315"/>
      <c r="Y25" s="27" t="s">
        <v>17</v>
      </c>
      <c r="Z25" s="27"/>
      <c r="AW25" s="250" t="s">
        <v>401</v>
      </c>
      <c r="AX25" s="200"/>
    </row>
    <row r="26" spans="1:91">
      <c r="A26" s="315"/>
      <c r="B26" s="319" t="s">
        <v>16</v>
      </c>
      <c r="C26" s="26"/>
      <c r="D26" s="26"/>
      <c r="E26" s="92"/>
      <c r="F26" s="92"/>
      <c r="G26" s="92"/>
      <c r="H26" s="92"/>
      <c r="I26" s="92"/>
      <c r="J26" s="92"/>
      <c r="K26" s="92"/>
      <c r="L26" s="92"/>
      <c r="Y26" s="25" t="s">
        <v>15</v>
      </c>
      <c r="Z26" s="24">
        <v>18</v>
      </c>
      <c r="AA26" s="4"/>
      <c r="AB26" s="4"/>
      <c r="AW26" s="24" t="s">
        <v>15</v>
      </c>
      <c r="AX26" s="24">
        <v>19</v>
      </c>
      <c r="AY26" s="91"/>
      <c r="BP26" s="24" t="s">
        <v>15</v>
      </c>
      <c r="BQ26" s="24">
        <v>19</v>
      </c>
      <c r="BR26" s="91"/>
      <c r="BS26" s="91"/>
      <c r="CH26" s="24" t="s">
        <v>15</v>
      </c>
      <c r="CI26" s="24">
        <v>19</v>
      </c>
      <c r="CJ26" s="91"/>
    </row>
    <row r="27" spans="1:91">
      <c r="A27" s="315"/>
      <c r="B27" s="321"/>
      <c r="C27" s="23"/>
      <c r="E27" s="92"/>
      <c r="F27" s="92"/>
      <c r="G27" s="92"/>
      <c r="H27" s="92"/>
      <c r="I27" s="92"/>
      <c r="J27" s="92"/>
      <c r="K27" s="92"/>
      <c r="L27" s="92"/>
      <c r="Y27" s="161" t="s">
        <v>133</v>
      </c>
      <c r="Z27" s="13">
        <f>COUNTIF(Z3:Z22,5)</f>
        <v>9</v>
      </c>
      <c r="AW27" s="128" t="s">
        <v>134</v>
      </c>
      <c r="AX27" s="13">
        <f>COUNTIF(AX3:AX22,5)</f>
        <v>9</v>
      </c>
      <c r="AY27" s="91"/>
      <c r="BP27" s="128" t="s">
        <v>134</v>
      </c>
      <c r="BQ27" s="13">
        <f>COUNTIF(BQ3:BQ22,5)</f>
        <v>10</v>
      </c>
      <c r="BR27" s="91"/>
      <c r="BS27" s="91"/>
      <c r="CH27" s="128" t="s">
        <v>134</v>
      </c>
      <c r="CI27" s="13">
        <f>COUNTIF(CI3:CI22,5)</f>
        <v>9</v>
      </c>
      <c r="CJ27" s="91"/>
    </row>
    <row r="28" spans="1:91">
      <c r="A28" s="315"/>
      <c r="B28" s="326" t="s">
        <v>13</v>
      </c>
      <c r="C28" s="20">
        <v>18</v>
      </c>
      <c r="D28" s="19" t="s">
        <v>4</v>
      </c>
      <c r="E28" s="92"/>
      <c r="F28" s="92"/>
      <c r="G28" s="92"/>
      <c r="H28" s="92"/>
      <c r="I28" s="92"/>
      <c r="J28" s="92"/>
      <c r="K28" s="92"/>
      <c r="L28" s="92"/>
      <c r="Y28" s="162" t="s">
        <v>12</v>
      </c>
      <c r="Z28" s="13">
        <f>COUNTIF(Z3:Z22,4)</f>
        <v>3</v>
      </c>
      <c r="AW28" s="129" t="s">
        <v>12</v>
      </c>
      <c r="AX28" s="13">
        <f>COUNTIF(AX3:AX22,4)</f>
        <v>4</v>
      </c>
      <c r="AY28" s="91"/>
      <c r="BP28" s="129" t="s">
        <v>12</v>
      </c>
      <c r="BQ28" s="13">
        <f>COUNTIF(BQ3:BQ22,4)</f>
        <v>4</v>
      </c>
      <c r="BR28" s="91"/>
      <c r="BS28" s="91"/>
      <c r="CH28" s="129" t="s">
        <v>12</v>
      </c>
      <c r="CI28" s="13">
        <f>COUNTIF(CI3:CI22,4)</f>
        <v>5</v>
      </c>
      <c r="CJ28" s="91"/>
    </row>
    <row r="29" spans="1:91">
      <c r="A29" s="315"/>
      <c r="B29" s="327" t="s">
        <v>11</v>
      </c>
      <c r="C29" s="2">
        <f>COUNTIF(J3:J22,"деф.массы")</f>
        <v>5</v>
      </c>
      <c r="D29" s="2">
        <f>C29*100/C28</f>
        <v>27.777777777777779</v>
      </c>
      <c r="E29" s="92"/>
      <c r="F29" s="92"/>
      <c r="G29" s="92"/>
      <c r="H29" s="92"/>
      <c r="I29" s="92"/>
      <c r="J29" s="92"/>
      <c r="K29" s="92"/>
      <c r="L29" s="92"/>
      <c r="Y29" s="163" t="s">
        <v>10</v>
      </c>
      <c r="Z29" s="13">
        <f>COUNTIF(Z3:Z22,3)</f>
        <v>3</v>
      </c>
      <c r="AW29" s="130" t="s">
        <v>135</v>
      </c>
      <c r="AX29" s="13">
        <f>COUNTIF(AX3:AX22,3)</f>
        <v>5</v>
      </c>
      <c r="AY29" s="91"/>
      <c r="BP29" s="130" t="s">
        <v>135</v>
      </c>
      <c r="BQ29" s="13">
        <f>COUNTIF(BQ3:BQ22,3)</f>
        <v>3</v>
      </c>
      <c r="BR29" s="91"/>
      <c r="BS29" s="91"/>
      <c r="CH29" s="130" t="s">
        <v>135</v>
      </c>
      <c r="CI29" s="13">
        <f>COUNTIF(CI3:CI22,3)</f>
        <v>4</v>
      </c>
      <c r="CJ29" s="91"/>
    </row>
    <row r="30" spans="1:91">
      <c r="A30" s="315"/>
      <c r="B30" s="328" t="s">
        <v>9</v>
      </c>
      <c r="C30" s="2">
        <f>COUNTIF(J3:J22,"гарм.(-)")</f>
        <v>7</v>
      </c>
      <c r="D30" s="359">
        <f>(C30+C31+C32)*100/C28</f>
        <v>55.555555555555557</v>
      </c>
      <c r="E30" s="92"/>
      <c r="F30" s="92"/>
      <c r="G30" s="92"/>
      <c r="H30" s="92"/>
      <c r="I30" s="92"/>
      <c r="J30" s="92"/>
      <c r="K30" s="92"/>
      <c r="L30" s="92"/>
      <c r="Y30" s="164" t="s">
        <v>230</v>
      </c>
      <c r="Z30" s="13">
        <f>COUNTIF(Z3:Z22,2)</f>
        <v>0</v>
      </c>
      <c r="AW30" s="131" t="s">
        <v>136</v>
      </c>
      <c r="AX30" s="13">
        <f>COUNTIF(AX3:AX22,2)</f>
        <v>0</v>
      </c>
      <c r="AY30" s="91"/>
      <c r="BP30" s="131" t="s">
        <v>136</v>
      </c>
      <c r="BQ30" s="13">
        <f>COUNTIF(BQ3:BQ22,2)</f>
        <v>1</v>
      </c>
      <c r="BR30" s="91"/>
      <c r="BS30" s="91"/>
      <c r="CH30" s="131" t="s">
        <v>136</v>
      </c>
      <c r="CI30" s="13">
        <f>COUNTIF(CI3:CI22,2)</f>
        <v>0</v>
      </c>
      <c r="CJ30" s="91"/>
    </row>
    <row r="31" spans="1:91">
      <c r="A31" s="315"/>
      <c r="B31" s="329" t="s">
        <v>7</v>
      </c>
      <c r="C31" s="2">
        <f>COUNTIF(J22:J43,"гармонич.")</f>
        <v>0</v>
      </c>
      <c r="D31" s="360"/>
      <c r="E31" s="92"/>
      <c r="F31" s="92"/>
      <c r="G31" s="92"/>
      <c r="H31" s="92"/>
      <c r="I31" s="92"/>
      <c r="J31" s="92"/>
      <c r="K31" s="92"/>
      <c r="L31" s="92"/>
      <c r="Y31" s="3" t="s">
        <v>6</v>
      </c>
      <c r="Z31" s="10">
        <f>COUNTIF(Z3:Z22,"осв.")</f>
        <v>3</v>
      </c>
      <c r="AW31" s="10" t="s">
        <v>96</v>
      </c>
      <c r="AX31" s="10">
        <f>COUNTIF(AX3:AX22,"осв.")</f>
        <v>1</v>
      </c>
      <c r="AY31" s="91"/>
      <c r="BP31" s="10" t="s">
        <v>96</v>
      </c>
      <c r="BQ31" s="10">
        <f>COUNTIF(BQ3:BQ22,"осв.")</f>
        <v>1</v>
      </c>
      <c r="BR31" s="91"/>
      <c r="BS31" s="91"/>
      <c r="CH31" s="10" t="s">
        <v>96</v>
      </c>
      <c r="CI31" s="10">
        <f>COUNTIF(CI3:CI22,"осв.")</f>
        <v>1</v>
      </c>
      <c r="CJ31" s="91"/>
    </row>
    <row r="32" spans="1:91">
      <c r="A32" s="315"/>
      <c r="B32" s="330" t="s">
        <v>5</v>
      </c>
      <c r="C32" s="2">
        <f>COUNTIF(J3:J22,"гарм.(+)")</f>
        <v>3</v>
      </c>
      <c r="D32" s="361"/>
      <c r="E32" s="92"/>
      <c r="F32" s="92"/>
      <c r="G32" s="92"/>
      <c r="H32" s="92"/>
      <c r="I32" s="92"/>
      <c r="J32" s="92"/>
      <c r="K32" s="92"/>
      <c r="L32" s="92"/>
      <c r="Y32" s="8"/>
      <c r="Z32" s="7" t="s">
        <v>4</v>
      </c>
      <c r="AW32" s="142"/>
      <c r="AX32" s="7" t="s">
        <v>4</v>
      </c>
      <c r="AY32" s="91"/>
      <c r="BP32" s="142"/>
      <c r="BQ32" s="7" t="s">
        <v>4</v>
      </c>
      <c r="BR32" s="91"/>
      <c r="BS32" s="91"/>
      <c r="CH32" s="142"/>
      <c r="CI32" s="7" t="s">
        <v>4</v>
      </c>
      <c r="CJ32" s="91"/>
    </row>
    <row r="33" spans="1:90">
      <c r="A33" s="315"/>
      <c r="B33" s="331" t="s">
        <v>3</v>
      </c>
      <c r="C33" s="2">
        <f>COUNTIF(J3:J22,"тучное")</f>
        <v>3</v>
      </c>
      <c r="D33" s="2">
        <f>C33*100/C28</f>
        <v>16.666666666666668</v>
      </c>
      <c r="E33" s="92"/>
      <c r="F33" s="92"/>
      <c r="G33" s="92"/>
      <c r="H33" s="92"/>
      <c r="I33" s="92"/>
      <c r="J33" s="92"/>
      <c r="K33" s="92"/>
      <c r="L33" s="92"/>
      <c r="Y33" s="3" t="s">
        <v>2</v>
      </c>
      <c r="Z33" s="2">
        <f>AA33*100/Z26</f>
        <v>22.222222222222221</v>
      </c>
      <c r="AA33" s="5">
        <f>COUNTIF(AA3:AA22,5)</f>
        <v>4</v>
      </c>
      <c r="AB33" s="4"/>
      <c r="AW33" s="10" t="s">
        <v>2</v>
      </c>
      <c r="AX33" s="2">
        <f>AY33*100/AX26</f>
        <v>5.2631578947368425</v>
      </c>
      <c r="AY33" s="5">
        <f>COUNTIF(AY3:AY22,5)</f>
        <v>1</v>
      </c>
      <c r="BP33" s="10" t="s">
        <v>2</v>
      </c>
      <c r="BQ33" s="133">
        <f>BR33*100/BQ26</f>
        <v>0</v>
      </c>
      <c r="BR33" s="234"/>
      <c r="BS33" s="132">
        <f>COUNTIF(BS3:BS22,5)</f>
        <v>0</v>
      </c>
      <c r="CH33" s="165" t="s">
        <v>2</v>
      </c>
      <c r="CI33" s="133">
        <f>CJ33*100/CI26</f>
        <v>0</v>
      </c>
      <c r="CJ33" s="246"/>
      <c r="CL33" s="5">
        <f>COUNTIF(CL3:CL22,5)</f>
        <v>0</v>
      </c>
    </row>
    <row r="34" spans="1:90">
      <c r="A34" s="315"/>
      <c r="B34" s="332"/>
      <c r="C34" s="324"/>
      <c r="D34" s="324"/>
      <c r="E34" s="92"/>
      <c r="F34" s="92"/>
      <c r="G34" s="92"/>
      <c r="H34" s="92"/>
      <c r="I34" s="92"/>
      <c r="J34" s="92"/>
      <c r="K34" s="92"/>
      <c r="L34" s="92"/>
      <c r="Y34" s="3" t="s">
        <v>1</v>
      </c>
      <c r="Z34" s="2">
        <f>(Z27+Z28+Z31)/Z26*100</f>
        <v>83.333333333333343</v>
      </c>
      <c r="AW34" s="10" t="s">
        <v>1</v>
      </c>
      <c r="AX34" s="2">
        <f>(AX27+AX28+AX31)/AX26*100</f>
        <v>73.68421052631578</v>
      </c>
      <c r="AY34" s="91"/>
      <c r="BP34" s="10" t="s">
        <v>1</v>
      </c>
      <c r="BQ34" s="2">
        <f>(BQ27+BQ28+BQ31)/BQ26*100</f>
        <v>78.94736842105263</v>
      </c>
      <c r="BR34" s="91"/>
      <c r="BS34" s="91"/>
      <c r="CH34" s="165" t="s">
        <v>1</v>
      </c>
      <c r="CI34" s="2">
        <f>(CI27+CI28+CI31)/CI26*100</f>
        <v>78.94736842105263</v>
      </c>
      <c r="CJ34" s="91"/>
    </row>
    <row r="35" spans="1:90">
      <c r="A35" s="315"/>
      <c r="B35" s="332"/>
      <c r="C35" s="324"/>
      <c r="D35" s="324"/>
      <c r="E35" s="92"/>
      <c r="F35" s="92"/>
      <c r="G35" s="92"/>
      <c r="H35" s="92"/>
      <c r="I35" s="92"/>
      <c r="J35" s="92"/>
      <c r="K35" s="92"/>
      <c r="L35" s="92"/>
      <c r="Y35" s="3" t="s">
        <v>0</v>
      </c>
      <c r="Z35" s="2">
        <f>(Z27+Z28+Z29-Z30+Z31)*100/Z26</f>
        <v>100</v>
      </c>
      <c r="AW35" s="10" t="s">
        <v>0</v>
      </c>
      <c r="AX35" s="2">
        <f>(AX27+AX28+AX29-AX30+AX31)*100/AX26</f>
        <v>100</v>
      </c>
      <c r="AY35" s="91"/>
      <c r="BP35" s="10" t="s">
        <v>0</v>
      </c>
      <c r="BQ35" s="2">
        <f>(BQ27+BQ28+BQ29-BQ30+BQ31)*100/BQ26</f>
        <v>89.473684210526315</v>
      </c>
      <c r="BR35" s="91"/>
      <c r="BS35" s="91"/>
      <c r="CH35" s="165" t="s">
        <v>0</v>
      </c>
      <c r="CI35" s="2">
        <f>(CI27+CI28+CI29-CI30+CI31)*100/CI26</f>
        <v>100</v>
      </c>
      <c r="CJ35" s="91"/>
    </row>
    <row r="36" spans="1:90"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</row>
    <row r="37" spans="1:90"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</row>
    <row r="38" spans="1:90"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</row>
    <row r="39" spans="1:90">
      <c r="B39" s="92"/>
      <c r="C39" s="143"/>
      <c r="D39" s="143"/>
      <c r="E39" s="143"/>
      <c r="F39" s="143"/>
      <c r="G39" s="143"/>
      <c r="H39" s="143"/>
      <c r="I39" s="143"/>
      <c r="J39" s="143"/>
      <c r="K39" s="143"/>
      <c r="L39" s="143"/>
    </row>
    <row r="40" spans="1:90">
      <c r="B40" s="92"/>
      <c r="C40" s="143"/>
      <c r="D40" s="143"/>
      <c r="E40" s="143"/>
      <c r="F40" s="143"/>
      <c r="G40" s="143"/>
      <c r="H40" s="143"/>
      <c r="I40" s="143"/>
      <c r="J40" s="143"/>
      <c r="K40" s="143"/>
      <c r="L40" s="143"/>
    </row>
    <row r="41" spans="1:90"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</row>
    <row r="42" spans="1:90"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</row>
    <row r="43" spans="1:90"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</row>
    <row r="44" spans="1:90"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1:90"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</row>
    <row r="46" spans="1:90"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</row>
    <row r="47" spans="1:90"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</row>
    <row r="48" spans="1:90"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</row>
    <row r="49" spans="2:12"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</row>
    <row r="50" spans="2:12"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</row>
    <row r="51" spans="2:12"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</row>
    <row r="52" spans="2:12">
      <c r="B52" s="154"/>
      <c r="C52" s="92"/>
      <c r="D52" s="92"/>
      <c r="E52" s="92"/>
      <c r="F52" s="92"/>
      <c r="G52" s="92"/>
      <c r="H52" s="92"/>
      <c r="I52" s="92"/>
      <c r="J52" s="92"/>
      <c r="K52" s="92"/>
      <c r="L52" s="92"/>
    </row>
    <row r="53" spans="2:12"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</row>
    <row r="54" spans="2:12"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</row>
  </sheetData>
  <mergeCells count="5">
    <mergeCell ref="A1:K1"/>
    <mergeCell ref="BT1:CM1"/>
    <mergeCell ref="AB1:AY1"/>
    <mergeCell ref="L1:AA1"/>
    <mergeCell ref="D30:D32"/>
  </mergeCells>
  <printOptions horizontalCentered="1" verticalCentered="1" gridLines="1"/>
  <pageMargins left="0.35433070866141736" right="0.35433070866141736" top="0.19685039370078741" bottom="0.19685039370078741" header="0.51181102362204722" footer="0.51181102362204722"/>
  <pageSetup paperSize="9" orientation="landscape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N10" sqref="N10"/>
    </sheetView>
  </sheetViews>
  <sheetFormatPr defaultRowHeight="12.75"/>
  <cols>
    <col min="1" max="1" width="10.5703125" style="201" customWidth="1"/>
    <col min="2" max="4" width="8.7109375" style="201" customWidth="1"/>
    <col min="5" max="5" width="10.140625" style="201" customWidth="1"/>
    <col min="6" max="6" width="9.7109375" style="201" customWidth="1"/>
    <col min="7" max="7" width="8.42578125" style="201" customWidth="1"/>
    <col min="8" max="8" width="9" style="201" customWidth="1"/>
    <col min="9" max="9" width="10.28515625" style="201" customWidth="1"/>
    <col min="10" max="10" width="9.140625" style="201"/>
    <col min="11" max="11" width="9.28515625" style="201" bestFit="1" customWidth="1"/>
    <col min="12" max="256" width="9.140625" style="201"/>
    <col min="257" max="257" width="10.5703125" style="201" customWidth="1"/>
    <col min="258" max="260" width="8.7109375" style="201" customWidth="1"/>
    <col min="261" max="261" width="10.140625" style="201" customWidth="1"/>
    <col min="262" max="262" width="9.7109375" style="201" customWidth="1"/>
    <col min="263" max="263" width="8.42578125" style="201" customWidth="1"/>
    <col min="264" max="264" width="9" style="201" customWidth="1"/>
    <col min="265" max="265" width="10.28515625" style="201" customWidth="1"/>
    <col min="266" max="266" width="9.140625" style="201"/>
    <col min="267" max="267" width="9.28515625" style="201" bestFit="1" customWidth="1"/>
    <col min="268" max="512" width="9.140625" style="201"/>
    <col min="513" max="513" width="10.5703125" style="201" customWidth="1"/>
    <col min="514" max="516" width="8.7109375" style="201" customWidth="1"/>
    <col min="517" max="517" width="10.140625" style="201" customWidth="1"/>
    <col min="518" max="518" width="9.7109375" style="201" customWidth="1"/>
    <col min="519" max="519" width="8.42578125" style="201" customWidth="1"/>
    <col min="520" max="520" width="9" style="201" customWidth="1"/>
    <col min="521" max="521" width="10.28515625" style="201" customWidth="1"/>
    <col min="522" max="522" width="9.140625" style="201"/>
    <col min="523" max="523" width="9.28515625" style="201" bestFit="1" customWidth="1"/>
    <col min="524" max="768" width="9.140625" style="201"/>
    <col min="769" max="769" width="10.5703125" style="201" customWidth="1"/>
    <col min="770" max="772" width="8.7109375" style="201" customWidth="1"/>
    <col min="773" max="773" width="10.140625" style="201" customWidth="1"/>
    <col min="774" max="774" width="9.7109375" style="201" customWidth="1"/>
    <col min="775" max="775" width="8.42578125" style="201" customWidth="1"/>
    <col min="776" max="776" width="9" style="201" customWidth="1"/>
    <col min="777" max="777" width="10.28515625" style="201" customWidth="1"/>
    <col min="778" max="778" width="9.140625" style="201"/>
    <col min="779" max="779" width="9.28515625" style="201" bestFit="1" customWidth="1"/>
    <col min="780" max="1024" width="9.140625" style="201"/>
    <col min="1025" max="1025" width="10.5703125" style="201" customWidth="1"/>
    <col min="1026" max="1028" width="8.7109375" style="201" customWidth="1"/>
    <col min="1029" max="1029" width="10.140625" style="201" customWidth="1"/>
    <col min="1030" max="1030" width="9.7109375" style="201" customWidth="1"/>
    <col min="1031" max="1031" width="8.42578125" style="201" customWidth="1"/>
    <col min="1032" max="1032" width="9" style="201" customWidth="1"/>
    <col min="1033" max="1033" width="10.28515625" style="201" customWidth="1"/>
    <col min="1034" max="1034" width="9.140625" style="201"/>
    <col min="1035" max="1035" width="9.28515625" style="201" bestFit="1" customWidth="1"/>
    <col min="1036" max="1280" width="9.140625" style="201"/>
    <col min="1281" max="1281" width="10.5703125" style="201" customWidth="1"/>
    <col min="1282" max="1284" width="8.7109375" style="201" customWidth="1"/>
    <col min="1285" max="1285" width="10.140625" style="201" customWidth="1"/>
    <col min="1286" max="1286" width="9.7109375" style="201" customWidth="1"/>
    <col min="1287" max="1287" width="8.42578125" style="201" customWidth="1"/>
    <col min="1288" max="1288" width="9" style="201" customWidth="1"/>
    <col min="1289" max="1289" width="10.28515625" style="201" customWidth="1"/>
    <col min="1290" max="1290" width="9.140625" style="201"/>
    <col min="1291" max="1291" width="9.28515625" style="201" bestFit="1" customWidth="1"/>
    <col min="1292" max="1536" width="9.140625" style="201"/>
    <col min="1537" max="1537" width="10.5703125" style="201" customWidth="1"/>
    <col min="1538" max="1540" width="8.7109375" style="201" customWidth="1"/>
    <col min="1541" max="1541" width="10.140625" style="201" customWidth="1"/>
    <col min="1542" max="1542" width="9.7109375" style="201" customWidth="1"/>
    <col min="1543" max="1543" width="8.42578125" style="201" customWidth="1"/>
    <col min="1544" max="1544" width="9" style="201" customWidth="1"/>
    <col min="1545" max="1545" width="10.28515625" style="201" customWidth="1"/>
    <col min="1546" max="1546" width="9.140625" style="201"/>
    <col min="1547" max="1547" width="9.28515625" style="201" bestFit="1" customWidth="1"/>
    <col min="1548" max="1792" width="9.140625" style="201"/>
    <col min="1793" max="1793" width="10.5703125" style="201" customWidth="1"/>
    <col min="1794" max="1796" width="8.7109375" style="201" customWidth="1"/>
    <col min="1797" max="1797" width="10.140625" style="201" customWidth="1"/>
    <col min="1798" max="1798" width="9.7109375" style="201" customWidth="1"/>
    <col min="1799" max="1799" width="8.42578125" style="201" customWidth="1"/>
    <col min="1800" max="1800" width="9" style="201" customWidth="1"/>
    <col min="1801" max="1801" width="10.28515625" style="201" customWidth="1"/>
    <col min="1802" max="1802" width="9.140625" style="201"/>
    <col min="1803" max="1803" width="9.28515625" style="201" bestFit="1" customWidth="1"/>
    <col min="1804" max="2048" width="9.140625" style="201"/>
    <col min="2049" max="2049" width="10.5703125" style="201" customWidth="1"/>
    <col min="2050" max="2052" width="8.7109375" style="201" customWidth="1"/>
    <col min="2053" max="2053" width="10.140625" style="201" customWidth="1"/>
    <col min="2054" max="2054" width="9.7109375" style="201" customWidth="1"/>
    <col min="2055" max="2055" width="8.42578125" style="201" customWidth="1"/>
    <col min="2056" max="2056" width="9" style="201" customWidth="1"/>
    <col min="2057" max="2057" width="10.28515625" style="201" customWidth="1"/>
    <col min="2058" max="2058" width="9.140625" style="201"/>
    <col min="2059" max="2059" width="9.28515625" style="201" bestFit="1" customWidth="1"/>
    <col min="2060" max="2304" width="9.140625" style="201"/>
    <col min="2305" max="2305" width="10.5703125" style="201" customWidth="1"/>
    <col min="2306" max="2308" width="8.7109375" style="201" customWidth="1"/>
    <col min="2309" max="2309" width="10.140625" style="201" customWidth="1"/>
    <col min="2310" max="2310" width="9.7109375" style="201" customWidth="1"/>
    <col min="2311" max="2311" width="8.42578125" style="201" customWidth="1"/>
    <col min="2312" max="2312" width="9" style="201" customWidth="1"/>
    <col min="2313" max="2313" width="10.28515625" style="201" customWidth="1"/>
    <col min="2314" max="2314" width="9.140625" style="201"/>
    <col min="2315" max="2315" width="9.28515625" style="201" bestFit="1" customWidth="1"/>
    <col min="2316" max="2560" width="9.140625" style="201"/>
    <col min="2561" max="2561" width="10.5703125" style="201" customWidth="1"/>
    <col min="2562" max="2564" width="8.7109375" style="201" customWidth="1"/>
    <col min="2565" max="2565" width="10.140625" style="201" customWidth="1"/>
    <col min="2566" max="2566" width="9.7109375" style="201" customWidth="1"/>
    <col min="2567" max="2567" width="8.42578125" style="201" customWidth="1"/>
    <col min="2568" max="2568" width="9" style="201" customWidth="1"/>
    <col min="2569" max="2569" width="10.28515625" style="201" customWidth="1"/>
    <col min="2570" max="2570" width="9.140625" style="201"/>
    <col min="2571" max="2571" width="9.28515625" style="201" bestFit="1" customWidth="1"/>
    <col min="2572" max="2816" width="9.140625" style="201"/>
    <col min="2817" max="2817" width="10.5703125" style="201" customWidth="1"/>
    <col min="2818" max="2820" width="8.7109375" style="201" customWidth="1"/>
    <col min="2821" max="2821" width="10.140625" style="201" customWidth="1"/>
    <col min="2822" max="2822" width="9.7109375" style="201" customWidth="1"/>
    <col min="2823" max="2823" width="8.42578125" style="201" customWidth="1"/>
    <col min="2824" max="2824" width="9" style="201" customWidth="1"/>
    <col min="2825" max="2825" width="10.28515625" style="201" customWidth="1"/>
    <col min="2826" max="2826" width="9.140625" style="201"/>
    <col min="2827" max="2827" width="9.28515625" style="201" bestFit="1" customWidth="1"/>
    <col min="2828" max="3072" width="9.140625" style="201"/>
    <col min="3073" max="3073" width="10.5703125" style="201" customWidth="1"/>
    <col min="3074" max="3076" width="8.7109375" style="201" customWidth="1"/>
    <col min="3077" max="3077" width="10.140625" style="201" customWidth="1"/>
    <col min="3078" max="3078" width="9.7109375" style="201" customWidth="1"/>
    <col min="3079" max="3079" width="8.42578125" style="201" customWidth="1"/>
    <col min="3080" max="3080" width="9" style="201" customWidth="1"/>
    <col min="3081" max="3081" width="10.28515625" style="201" customWidth="1"/>
    <col min="3082" max="3082" width="9.140625" style="201"/>
    <col min="3083" max="3083" width="9.28515625" style="201" bestFit="1" customWidth="1"/>
    <col min="3084" max="3328" width="9.140625" style="201"/>
    <col min="3329" max="3329" width="10.5703125" style="201" customWidth="1"/>
    <col min="3330" max="3332" width="8.7109375" style="201" customWidth="1"/>
    <col min="3333" max="3333" width="10.140625" style="201" customWidth="1"/>
    <col min="3334" max="3334" width="9.7109375" style="201" customWidth="1"/>
    <col min="3335" max="3335" width="8.42578125" style="201" customWidth="1"/>
    <col min="3336" max="3336" width="9" style="201" customWidth="1"/>
    <col min="3337" max="3337" width="10.28515625" style="201" customWidth="1"/>
    <col min="3338" max="3338" width="9.140625" style="201"/>
    <col min="3339" max="3339" width="9.28515625" style="201" bestFit="1" customWidth="1"/>
    <col min="3340" max="3584" width="9.140625" style="201"/>
    <col min="3585" max="3585" width="10.5703125" style="201" customWidth="1"/>
    <col min="3586" max="3588" width="8.7109375" style="201" customWidth="1"/>
    <col min="3589" max="3589" width="10.140625" style="201" customWidth="1"/>
    <col min="3590" max="3590" width="9.7109375" style="201" customWidth="1"/>
    <col min="3591" max="3591" width="8.42578125" style="201" customWidth="1"/>
    <col min="3592" max="3592" width="9" style="201" customWidth="1"/>
    <col min="3593" max="3593" width="10.28515625" style="201" customWidth="1"/>
    <col min="3594" max="3594" width="9.140625" style="201"/>
    <col min="3595" max="3595" width="9.28515625" style="201" bestFit="1" customWidth="1"/>
    <col min="3596" max="3840" width="9.140625" style="201"/>
    <col min="3841" max="3841" width="10.5703125" style="201" customWidth="1"/>
    <col min="3842" max="3844" width="8.7109375" style="201" customWidth="1"/>
    <col min="3845" max="3845" width="10.140625" style="201" customWidth="1"/>
    <col min="3846" max="3846" width="9.7109375" style="201" customWidth="1"/>
    <col min="3847" max="3847" width="8.42578125" style="201" customWidth="1"/>
    <col min="3848" max="3848" width="9" style="201" customWidth="1"/>
    <col min="3849" max="3849" width="10.28515625" style="201" customWidth="1"/>
    <col min="3850" max="3850" width="9.140625" style="201"/>
    <col min="3851" max="3851" width="9.28515625" style="201" bestFit="1" customWidth="1"/>
    <col min="3852" max="4096" width="9.140625" style="201"/>
    <col min="4097" max="4097" width="10.5703125" style="201" customWidth="1"/>
    <col min="4098" max="4100" width="8.7109375" style="201" customWidth="1"/>
    <col min="4101" max="4101" width="10.140625" style="201" customWidth="1"/>
    <col min="4102" max="4102" width="9.7109375" style="201" customWidth="1"/>
    <col min="4103" max="4103" width="8.42578125" style="201" customWidth="1"/>
    <col min="4104" max="4104" width="9" style="201" customWidth="1"/>
    <col min="4105" max="4105" width="10.28515625" style="201" customWidth="1"/>
    <col min="4106" max="4106" width="9.140625" style="201"/>
    <col min="4107" max="4107" width="9.28515625" style="201" bestFit="1" customWidth="1"/>
    <col min="4108" max="4352" width="9.140625" style="201"/>
    <col min="4353" max="4353" width="10.5703125" style="201" customWidth="1"/>
    <col min="4354" max="4356" width="8.7109375" style="201" customWidth="1"/>
    <col min="4357" max="4357" width="10.140625" style="201" customWidth="1"/>
    <col min="4358" max="4358" width="9.7109375" style="201" customWidth="1"/>
    <col min="4359" max="4359" width="8.42578125" style="201" customWidth="1"/>
    <col min="4360" max="4360" width="9" style="201" customWidth="1"/>
    <col min="4361" max="4361" width="10.28515625" style="201" customWidth="1"/>
    <col min="4362" max="4362" width="9.140625" style="201"/>
    <col min="4363" max="4363" width="9.28515625" style="201" bestFit="1" customWidth="1"/>
    <col min="4364" max="4608" width="9.140625" style="201"/>
    <col min="4609" max="4609" width="10.5703125" style="201" customWidth="1"/>
    <col min="4610" max="4612" width="8.7109375" style="201" customWidth="1"/>
    <col min="4613" max="4613" width="10.140625" style="201" customWidth="1"/>
    <col min="4614" max="4614" width="9.7109375" style="201" customWidth="1"/>
    <col min="4615" max="4615" width="8.42578125" style="201" customWidth="1"/>
    <col min="4616" max="4616" width="9" style="201" customWidth="1"/>
    <col min="4617" max="4617" width="10.28515625" style="201" customWidth="1"/>
    <col min="4618" max="4618" width="9.140625" style="201"/>
    <col min="4619" max="4619" width="9.28515625" style="201" bestFit="1" customWidth="1"/>
    <col min="4620" max="4864" width="9.140625" style="201"/>
    <col min="4865" max="4865" width="10.5703125" style="201" customWidth="1"/>
    <col min="4866" max="4868" width="8.7109375" style="201" customWidth="1"/>
    <col min="4869" max="4869" width="10.140625" style="201" customWidth="1"/>
    <col min="4870" max="4870" width="9.7109375" style="201" customWidth="1"/>
    <col min="4871" max="4871" width="8.42578125" style="201" customWidth="1"/>
    <col min="4872" max="4872" width="9" style="201" customWidth="1"/>
    <col min="4873" max="4873" width="10.28515625" style="201" customWidth="1"/>
    <col min="4874" max="4874" width="9.140625" style="201"/>
    <col min="4875" max="4875" width="9.28515625" style="201" bestFit="1" customWidth="1"/>
    <col min="4876" max="5120" width="9.140625" style="201"/>
    <col min="5121" max="5121" width="10.5703125" style="201" customWidth="1"/>
    <col min="5122" max="5124" width="8.7109375" style="201" customWidth="1"/>
    <col min="5125" max="5125" width="10.140625" style="201" customWidth="1"/>
    <col min="5126" max="5126" width="9.7109375" style="201" customWidth="1"/>
    <col min="5127" max="5127" width="8.42578125" style="201" customWidth="1"/>
    <col min="5128" max="5128" width="9" style="201" customWidth="1"/>
    <col min="5129" max="5129" width="10.28515625" style="201" customWidth="1"/>
    <col min="5130" max="5130" width="9.140625" style="201"/>
    <col min="5131" max="5131" width="9.28515625" style="201" bestFit="1" customWidth="1"/>
    <col min="5132" max="5376" width="9.140625" style="201"/>
    <col min="5377" max="5377" width="10.5703125" style="201" customWidth="1"/>
    <col min="5378" max="5380" width="8.7109375" style="201" customWidth="1"/>
    <col min="5381" max="5381" width="10.140625" style="201" customWidth="1"/>
    <col min="5382" max="5382" width="9.7109375" style="201" customWidth="1"/>
    <col min="5383" max="5383" width="8.42578125" style="201" customWidth="1"/>
    <col min="5384" max="5384" width="9" style="201" customWidth="1"/>
    <col min="5385" max="5385" width="10.28515625" style="201" customWidth="1"/>
    <col min="5386" max="5386" width="9.140625" style="201"/>
    <col min="5387" max="5387" width="9.28515625" style="201" bestFit="1" customWidth="1"/>
    <col min="5388" max="5632" width="9.140625" style="201"/>
    <col min="5633" max="5633" width="10.5703125" style="201" customWidth="1"/>
    <col min="5634" max="5636" width="8.7109375" style="201" customWidth="1"/>
    <col min="5637" max="5637" width="10.140625" style="201" customWidth="1"/>
    <col min="5638" max="5638" width="9.7109375" style="201" customWidth="1"/>
    <col min="5639" max="5639" width="8.42578125" style="201" customWidth="1"/>
    <col min="5640" max="5640" width="9" style="201" customWidth="1"/>
    <col min="5641" max="5641" width="10.28515625" style="201" customWidth="1"/>
    <col min="5642" max="5642" width="9.140625" style="201"/>
    <col min="5643" max="5643" width="9.28515625" style="201" bestFit="1" customWidth="1"/>
    <col min="5644" max="5888" width="9.140625" style="201"/>
    <col min="5889" max="5889" width="10.5703125" style="201" customWidth="1"/>
    <col min="5890" max="5892" width="8.7109375" style="201" customWidth="1"/>
    <col min="5893" max="5893" width="10.140625" style="201" customWidth="1"/>
    <col min="5894" max="5894" width="9.7109375" style="201" customWidth="1"/>
    <col min="5895" max="5895" width="8.42578125" style="201" customWidth="1"/>
    <col min="5896" max="5896" width="9" style="201" customWidth="1"/>
    <col min="5897" max="5897" width="10.28515625" style="201" customWidth="1"/>
    <col min="5898" max="5898" width="9.140625" style="201"/>
    <col min="5899" max="5899" width="9.28515625" style="201" bestFit="1" customWidth="1"/>
    <col min="5900" max="6144" width="9.140625" style="201"/>
    <col min="6145" max="6145" width="10.5703125" style="201" customWidth="1"/>
    <col min="6146" max="6148" width="8.7109375" style="201" customWidth="1"/>
    <col min="6149" max="6149" width="10.140625" style="201" customWidth="1"/>
    <col min="6150" max="6150" width="9.7109375" style="201" customWidth="1"/>
    <col min="6151" max="6151" width="8.42578125" style="201" customWidth="1"/>
    <col min="6152" max="6152" width="9" style="201" customWidth="1"/>
    <col min="6153" max="6153" width="10.28515625" style="201" customWidth="1"/>
    <col min="6154" max="6154" width="9.140625" style="201"/>
    <col min="6155" max="6155" width="9.28515625" style="201" bestFit="1" customWidth="1"/>
    <col min="6156" max="6400" width="9.140625" style="201"/>
    <col min="6401" max="6401" width="10.5703125" style="201" customWidth="1"/>
    <col min="6402" max="6404" width="8.7109375" style="201" customWidth="1"/>
    <col min="6405" max="6405" width="10.140625" style="201" customWidth="1"/>
    <col min="6406" max="6406" width="9.7109375" style="201" customWidth="1"/>
    <col min="6407" max="6407" width="8.42578125" style="201" customWidth="1"/>
    <col min="6408" max="6408" width="9" style="201" customWidth="1"/>
    <col min="6409" max="6409" width="10.28515625" style="201" customWidth="1"/>
    <col min="6410" max="6410" width="9.140625" style="201"/>
    <col min="6411" max="6411" width="9.28515625" style="201" bestFit="1" customWidth="1"/>
    <col min="6412" max="6656" width="9.140625" style="201"/>
    <col min="6657" max="6657" width="10.5703125" style="201" customWidth="1"/>
    <col min="6658" max="6660" width="8.7109375" style="201" customWidth="1"/>
    <col min="6661" max="6661" width="10.140625" style="201" customWidth="1"/>
    <col min="6662" max="6662" width="9.7109375" style="201" customWidth="1"/>
    <col min="6663" max="6663" width="8.42578125" style="201" customWidth="1"/>
    <col min="6664" max="6664" width="9" style="201" customWidth="1"/>
    <col min="6665" max="6665" width="10.28515625" style="201" customWidth="1"/>
    <col min="6666" max="6666" width="9.140625" style="201"/>
    <col min="6667" max="6667" width="9.28515625" style="201" bestFit="1" customWidth="1"/>
    <col min="6668" max="6912" width="9.140625" style="201"/>
    <col min="6913" max="6913" width="10.5703125" style="201" customWidth="1"/>
    <col min="6914" max="6916" width="8.7109375" style="201" customWidth="1"/>
    <col min="6917" max="6917" width="10.140625" style="201" customWidth="1"/>
    <col min="6918" max="6918" width="9.7109375" style="201" customWidth="1"/>
    <col min="6919" max="6919" width="8.42578125" style="201" customWidth="1"/>
    <col min="6920" max="6920" width="9" style="201" customWidth="1"/>
    <col min="6921" max="6921" width="10.28515625" style="201" customWidth="1"/>
    <col min="6922" max="6922" width="9.140625" style="201"/>
    <col min="6923" max="6923" width="9.28515625" style="201" bestFit="1" customWidth="1"/>
    <col min="6924" max="7168" width="9.140625" style="201"/>
    <col min="7169" max="7169" width="10.5703125" style="201" customWidth="1"/>
    <col min="7170" max="7172" width="8.7109375" style="201" customWidth="1"/>
    <col min="7173" max="7173" width="10.140625" style="201" customWidth="1"/>
    <col min="7174" max="7174" width="9.7109375" style="201" customWidth="1"/>
    <col min="7175" max="7175" width="8.42578125" style="201" customWidth="1"/>
    <col min="7176" max="7176" width="9" style="201" customWidth="1"/>
    <col min="7177" max="7177" width="10.28515625" style="201" customWidth="1"/>
    <col min="7178" max="7178" width="9.140625" style="201"/>
    <col min="7179" max="7179" width="9.28515625" style="201" bestFit="1" customWidth="1"/>
    <col min="7180" max="7424" width="9.140625" style="201"/>
    <col min="7425" max="7425" width="10.5703125" style="201" customWidth="1"/>
    <col min="7426" max="7428" width="8.7109375" style="201" customWidth="1"/>
    <col min="7429" max="7429" width="10.140625" style="201" customWidth="1"/>
    <col min="7430" max="7430" width="9.7109375" style="201" customWidth="1"/>
    <col min="7431" max="7431" width="8.42578125" style="201" customWidth="1"/>
    <col min="7432" max="7432" width="9" style="201" customWidth="1"/>
    <col min="7433" max="7433" width="10.28515625" style="201" customWidth="1"/>
    <col min="7434" max="7434" width="9.140625" style="201"/>
    <col min="7435" max="7435" width="9.28515625" style="201" bestFit="1" customWidth="1"/>
    <col min="7436" max="7680" width="9.140625" style="201"/>
    <col min="7681" max="7681" width="10.5703125" style="201" customWidth="1"/>
    <col min="7682" max="7684" width="8.7109375" style="201" customWidth="1"/>
    <col min="7685" max="7685" width="10.140625" style="201" customWidth="1"/>
    <col min="7686" max="7686" width="9.7109375" style="201" customWidth="1"/>
    <col min="7687" max="7687" width="8.42578125" style="201" customWidth="1"/>
    <col min="7688" max="7688" width="9" style="201" customWidth="1"/>
    <col min="7689" max="7689" width="10.28515625" style="201" customWidth="1"/>
    <col min="7690" max="7690" width="9.140625" style="201"/>
    <col min="7691" max="7691" width="9.28515625" style="201" bestFit="1" customWidth="1"/>
    <col min="7692" max="7936" width="9.140625" style="201"/>
    <col min="7937" max="7937" width="10.5703125" style="201" customWidth="1"/>
    <col min="7938" max="7940" width="8.7109375" style="201" customWidth="1"/>
    <col min="7941" max="7941" width="10.140625" style="201" customWidth="1"/>
    <col min="7942" max="7942" width="9.7109375" style="201" customWidth="1"/>
    <col min="7943" max="7943" width="8.42578125" style="201" customWidth="1"/>
    <col min="7944" max="7944" width="9" style="201" customWidth="1"/>
    <col min="7945" max="7945" width="10.28515625" style="201" customWidth="1"/>
    <col min="7946" max="7946" width="9.140625" style="201"/>
    <col min="7947" max="7947" width="9.28515625" style="201" bestFit="1" customWidth="1"/>
    <col min="7948" max="8192" width="9.140625" style="201"/>
    <col min="8193" max="8193" width="10.5703125" style="201" customWidth="1"/>
    <col min="8194" max="8196" width="8.7109375" style="201" customWidth="1"/>
    <col min="8197" max="8197" width="10.140625" style="201" customWidth="1"/>
    <col min="8198" max="8198" width="9.7109375" style="201" customWidth="1"/>
    <col min="8199" max="8199" width="8.42578125" style="201" customWidth="1"/>
    <col min="8200" max="8200" width="9" style="201" customWidth="1"/>
    <col min="8201" max="8201" width="10.28515625" style="201" customWidth="1"/>
    <col min="8202" max="8202" width="9.140625" style="201"/>
    <col min="8203" max="8203" width="9.28515625" style="201" bestFit="1" customWidth="1"/>
    <col min="8204" max="8448" width="9.140625" style="201"/>
    <col min="8449" max="8449" width="10.5703125" style="201" customWidth="1"/>
    <col min="8450" max="8452" width="8.7109375" style="201" customWidth="1"/>
    <col min="8453" max="8453" width="10.140625" style="201" customWidth="1"/>
    <col min="8454" max="8454" width="9.7109375" style="201" customWidth="1"/>
    <col min="8455" max="8455" width="8.42578125" style="201" customWidth="1"/>
    <col min="8456" max="8456" width="9" style="201" customWidth="1"/>
    <col min="8457" max="8457" width="10.28515625" style="201" customWidth="1"/>
    <col min="8458" max="8458" width="9.140625" style="201"/>
    <col min="8459" max="8459" width="9.28515625" style="201" bestFit="1" customWidth="1"/>
    <col min="8460" max="8704" width="9.140625" style="201"/>
    <col min="8705" max="8705" width="10.5703125" style="201" customWidth="1"/>
    <col min="8706" max="8708" width="8.7109375" style="201" customWidth="1"/>
    <col min="8709" max="8709" width="10.140625" style="201" customWidth="1"/>
    <col min="8710" max="8710" width="9.7109375" style="201" customWidth="1"/>
    <col min="8711" max="8711" width="8.42578125" style="201" customWidth="1"/>
    <col min="8712" max="8712" width="9" style="201" customWidth="1"/>
    <col min="8713" max="8713" width="10.28515625" style="201" customWidth="1"/>
    <col min="8714" max="8714" width="9.140625" style="201"/>
    <col min="8715" max="8715" width="9.28515625" style="201" bestFit="1" customWidth="1"/>
    <col min="8716" max="8960" width="9.140625" style="201"/>
    <col min="8961" max="8961" width="10.5703125" style="201" customWidth="1"/>
    <col min="8962" max="8964" width="8.7109375" style="201" customWidth="1"/>
    <col min="8965" max="8965" width="10.140625" style="201" customWidth="1"/>
    <col min="8966" max="8966" width="9.7109375" style="201" customWidth="1"/>
    <col min="8967" max="8967" width="8.42578125" style="201" customWidth="1"/>
    <col min="8968" max="8968" width="9" style="201" customWidth="1"/>
    <col min="8969" max="8969" width="10.28515625" style="201" customWidth="1"/>
    <col min="8970" max="8970" width="9.140625" style="201"/>
    <col min="8971" max="8971" width="9.28515625" style="201" bestFit="1" customWidth="1"/>
    <col min="8972" max="9216" width="9.140625" style="201"/>
    <col min="9217" max="9217" width="10.5703125" style="201" customWidth="1"/>
    <col min="9218" max="9220" width="8.7109375" style="201" customWidth="1"/>
    <col min="9221" max="9221" width="10.140625" style="201" customWidth="1"/>
    <col min="9222" max="9222" width="9.7109375" style="201" customWidth="1"/>
    <col min="9223" max="9223" width="8.42578125" style="201" customWidth="1"/>
    <col min="9224" max="9224" width="9" style="201" customWidth="1"/>
    <col min="9225" max="9225" width="10.28515625" style="201" customWidth="1"/>
    <col min="9226" max="9226" width="9.140625" style="201"/>
    <col min="9227" max="9227" width="9.28515625" style="201" bestFit="1" customWidth="1"/>
    <col min="9228" max="9472" width="9.140625" style="201"/>
    <col min="9473" max="9473" width="10.5703125" style="201" customWidth="1"/>
    <col min="9474" max="9476" width="8.7109375" style="201" customWidth="1"/>
    <col min="9477" max="9477" width="10.140625" style="201" customWidth="1"/>
    <col min="9478" max="9478" width="9.7109375" style="201" customWidth="1"/>
    <col min="9479" max="9479" width="8.42578125" style="201" customWidth="1"/>
    <col min="9480" max="9480" width="9" style="201" customWidth="1"/>
    <col min="9481" max="9481" width="10.28515625" style="201" customWidth="1"/>
    <col min="9482" max="9482" width="9.140625" style="201"/>
    <col min="9483" max="9483" width="9.28515625" style="201" bestFit="1" customWidth="1"/>
    <col min="9484" max="9728" width="9.140625" style="201"/>
    <col min="9729" max="9729" width="10.5703125" style="201" customWidth="1"/>
    <col min="9730" max="9732" width="8.7109375" style="201" customWidth="1"/>
    <col min="9733" max="9733" width="10.140625" style="201" customWidth="1"/>
    <col min="9734" max="9734" width="9.7109375" style="201" customWidth="1"/>
    <col min="9735" max="9735" width="8.42578125" style="201" customWidth="1"/>
    <col min="9736" max="9736" width="9" style="201" customWidth="1"/>
    <col min="9737" max="9737" width="10.28515625" style="201" customWidth="1"/>
    <col min="9738" max="9738" width="9.140625" style="201"/>
    <col min="9739" max="9739" width="9.28515625" style="201" bestFit="1" customWidth="1"/>
    <col min="9740" max="9984" width="9.140625" style="201"/>
    <col min="9985" max="9985" width="10.5703125" style="201" customWidth="1"/>
    <col min="9986" max="9988" width="8.7109375" style="201" customWidth="1"/>
    <col min="9989" max="9989" width="10.140625" style="201" customWidth="1"/>
    <col min="9990" max="9990" width="9.7109375" style="201" customWidth="1"/>
    <col min="9991" max="9991" width="8.42578125" style="201" customWidth="1"/>
    <col min="9992" max="9992" width="9" style="201" customWidth="1"/>
    <col min="9993" max="9993" width="10.28515625" style="201" customWidth="1"/>
    <col min="9994" max="9994" width="9.140625" style="201"/>
    <col min="9995" max="9995" width="9.28515625" style="201" bestFit="1" customWidth="1"/>
    <col min="9996" max="10240" width="9.140625" style="201"/>
    <col min="10241" max="10241" width="10.5703125" style="201" customWidth="1"/>
    <col min="10242" max="10244" width="8.7109375" style="201" customWidth="1"/>
    <col min="10245" max="10245" width="10.140625" style="201" customWidth="1"/>
    <col min="10246" max="10246" width="9.7109375" style="201" customWidth="1"/>
    <col min="10247" max="10247" width="8.42578125" style="201" customWidth="1"/>
    <col min="10248" max="10248" width="9" style="201" customWidth="1"/>
    <col min="10249" max="10249" width="10.28515625" style="201" customWidth="1"/>
    <col min="10250" max="10250" width="9.140625" style="201"/>
    <col min="10251" max="10251" width="9.28515625" style="201" bestFit="1" customWidth="1"/>
    <col min="10252" max="10496" width="9.140625" style="201"/>
    <col min="10497" max="10497" width="10.5703125" style="201" customWidth="1"/>
    <col min="10498" max="10500" width="8.7109375" style="201" customWidth="1"/>
    <col min="10501" max="10501" width="10.140625" style="201" customWidth="1"/>
    <col min="10502" max="10502" width="9.7109375" style="201" customWidth="1"/>
    <col min="10503" max="10503" width="8.42578125" style="201" customWidth="1"/>
    <col min="10504" max="10504" width="9" style="201" customWidth="1"/>
    <col min="10505" max="10505" width="10.28515625" style="201" customWidth="1"/>
    <col min="10506" max="10506" width="9.140625" style="201"/>
    <col min="10507" max="10507" width="9.28515625" style="201" bestFit="1" customWidth="1"/>
    <col min="10508" max="10752" width="9.140625" style="201"/>
    <col min="10753" max="10753" width="10.5703125" style="201" customWidth="1"/>
    <col min="10754" max="10756" width="8.7109375" style="201" customWidth="1"/>
    <col min="10757" max="10757" width="10.140625" style="201" customWidth="1"/>
    <col min="10758" max="10758" width="9.7109375" style="201" customWidth="1"/>
    <col min="10759" max="10759" width="8.42578125" style="201" customWidth="1"/>
    <col min="10760" max="10760" width="9" style="201" customWidth="1"/>
    <col min="10761" max="10761" width="10.28515625" style="201" customWidth="1"/>
    <col min="10762" max="10762" width="9.140625" style="201"/>
    <col min="10763" max="10763" width="9.28515625" style="201" bestFit="1" customWidth="1"/>
    <col min="10764" max="11008" width="9.140625" style="201"/>
    <col min="11009" max="11009" width="10.5703125" style="201" customWidth="1"/>
    <col min="11010" max="11012" width="8.7109375" style="201" customWidth="1"/>
    <col min="11013" max="11013" width="10.140625" style="201" customWidth="1"/>
    <col min="11014" max="11014" width="9.7109375" style="201" customWidth="1"/>
    <col min="11015" max="11015" width="8.42578125" style="201" customWidth="1"/>
    <col min="11016" max="11016" width="9" style="201" customWidth="1"/>
    <col min="11017" max="11017" width="10.28515625" style="201" customWidth="1"/>
    <col min="11018" max="11018" width="9.140625" style="201"/>
    <col min="11019" max="11019" width="9.28515625" style="201" bestFit="1" customWidth="1"/>
    <col min="11020" max="11264" width="9.140625" style="201"/>
    <col min="11265" max="11265" width="10.5703125" style="201" customWidth="1"/>
    <col min="11266" max="11268" width="8.7109375" style="201" customWidth="1"/>
    <col min="11269" max="11269" width="10.140625" style="201" customWidth="1"/>
    <col min="11270" max="11270" width="9.7109375" style="201" customWidth="1"/>
    <col min="11271" max="11271" width="8.42578125" style="201" customWidth="1"/>
    <col min="11272" max="11272" width="9" style="201" customWidth="1"/>
    <col min="11273" max="11273" width="10.28515625" style="201" customWidth="1"/>
    <col min="11274" max="11274" width="9.140625" style="201"/>
    <col min="11275" max="11275" width="9.28515625" style="201" bestFit="1" customWidth="1"/>
    <col min="11276" max="11520" width="9.140625" style="201"/>
    <col min="11521" max="11521" width="10.5703125" style="201" customWidth="1"/>
    <col min="11522" max="11524" width="8.7109375" style="201" customWidth="1"/>
    <col min="11525" max="11525" width="10.140625" style="201" customWidth="1"/>
    <col min="11526" max="11526" width="9.7109375" style="201" customWidth="1"/>
    <col min="11527" max="11527" width="8.42578125" style="201" customWidth="1"/>
    <col min="11528" max="11528" width="9" style="201" customWidth="1"/>
    <col min="11529" max="11529" width="10.28515625" style="201" customWidth="1"/>
    <col min="11530" max="11530" width="9.140625" style="201"/>
    <col min="11531" max="11531" width="9.28515625" style="201" bestFit="1" customWidth="1"/>
    <col min="11532" max="11776" width="9.140625" style="201"/>
    <col min="11777" max="11777" width="10.5703125" style="201" customWidth="1"/>
    <col min="11778" max="11780" width="8.7109375" style="201" customWidth="1"/>
    <col min="11781" max="11781" width="10.140625" style="201" customWidth="1"/>
    <col min="11782" max="11782" width="9.7109375" style="201" customWidth="1"/>
    <col min="11783" max="11783" width="8.42578125" style="201" customWidth="1"/>
    <col min="11784" max="11784" width="9" style="201" customWidth="1"/>
    <col min="11785" max="11785" width="10.28515625" style="201" customWidth="1"/>
    <col min="11786" max="11786" width="9.140625" style="201"/>
    <col min="11787" max="11787" width="9.28515625" style="201" bestFit="1" customWidth="1"/>
    <col min="11788" max="12032" width="9.140625" style="201"/>
    <col min="12033" max="12033" width="10.5703125" style="201" customWidth="1"/>
    <col min="12034" max="12036" width="8.7109375" style="201" customWidth="1"/>
    <col min="12037" max="12037" width="10.140625" style="201" customWidth="1"/>
    <col min="12038" max="12038" width="9.7109375" style="201" customWidth="1"/>
    <col min="12039" max="12039" width="8.42578125" style="201" customWidth="1"/>
    <col min="12040" max="12040" width="9" style="201" customWidth="1"/>
    <col min="12041" max="12041" width="10.28515625" style="201" customWidth="1"/>
    <col min="12042" max="12042" width="9.140625" style="201"/>
    <col min="12043" max="12043" width="9.28515625" style="201" bestFit="1" customWidth="1"/>
    <col min="12044" max="12288" width="9.140625" style="201"/>
    <col min="12289" max="12289" width="10.5703125" style="201" customWidth="1"/>
    <col min="12290" max="12292" width="8.7109375" style="201" customWidth="1"/>
    <col min="12293" max="12293" width="10.140625" style="201" customWidth="1"/>
    <col min="12294" max="12294" width="9.7109375" style="201" customWidth="1"/>
    <col min="12295" max="12295" width="8.42578125" style="201" customWidth="1"/>
    <col min="12296" max="12296" width="9" style="201" customWidth="1"/>
    <col min="12297" max="12297" width="10.28515625" style="201" customWidth="1"/>
    <col min="12298" max="12298" width="9.140625" style="201"/>
    <col min="12299" max="12299" width="9.28515625" style="201" bestFit="1" customWidth="1"/>
    <col min="12300" max="12544" width="9.140625" style="201"/>
    <col min="12545" max="12545" width="10.5703125" style="201" customWidth="1"/>
    <col min="12546" max="12548" width="8.7109375" style="201" customWidth="1"/>
    <col min="12549" max="12549" width="10.140625" style="201" customWidth="1"/>
    <col min="12550" max="12550" width="9.7109375" style="201" customWidth="1"/>
    <col min="12551" max="12551" width="8.42578125" style="201" customWidth="1"/>
    <col min="12552" max="12552" width="9" style="201" customWidth="1"/>
    <col min="12553" max="12553" width="10.28515625" style="201" customWidth="1"/>
    <col min="12554" max="12554" width="9.140625" style="201"/>
    <col min="12555" max="12555" width="9.28515625" style="201" bestFit="1" customWidth="1"/>
    <col min="12556" max="12800" width="9.140625" style="201"/>
    <col min="12801" max="12801" width="10.5703125" style="201" customWidth="1"/>
    <col min="12802" max="12804" width="8.7109375" style="201" customWidth="1"/>
    <col min="12805" max="12805" width="10.140625" style="201" customWidth="1"/>
    <col min="12806" max="12806" width="9.7109375" style="201" customWidth="1"/>
    <col min="12807" max="12807" width="8.42578125" style="201" customWidth="1"/>
    <col min="12808" max="12808" width="9" style="201" customWidth="1"/>
    <col min="12809" max="12809" width="10.28515625" style="201" customWidth="1"/>
    <col min="12810" max="12810" width="9.140625" style="201"/>
    <col min="12811" max="12811" width="9.28515625" style="201" bestFit="1" customWidth="1"/>
    <col min="12812" max="13056" width="9.140625" style="201"/>
    <col min="13057" max="13057" width="10.5703125" style="201" customWidth="1"/>
    <col min="13058" max="13060" width="8.7109375" style="201" customWidth="1"/>
    <col min="13061" max="13061" width="10.140625" style="201" customWidth="1"/>
    <col min="13062" max="13062" width="9.7109375" style="201" customWidth="1"/>
    <col min="13063" max="13063" width="8.42578125" style="201" customWidth="1"/>
    <col min="13064" max="13064" width="9" style="201" customWidth="1"/>
    <col min="13065" max="13065" width="10.28515625" style="201" customWidth="1"/>
    <col min="13066" max="13066" width="9.140625" style="201"/>
    <col min="13067" max="13067" width="9.28515625" style="201" bestFit="1" customWidth="1"/>
    <col min="13068" max="13312" width="9.140625" style="201"/>
    <col min="13313" max="13313" width="10.5703125" style="201" customWidth="1"/>
    <col min="13314" max="13316" width="8.7109375" style="201" customWidth="1"/>
    <col min="13317" max="13317" width="10.140625" style="201" customWidth="1"/>
    <col min="13318" max="13318" width="9.7109375" style="201" customWidth="1"/>
    <col min="13319" max="13319" width="8.42578125" style="201" customWidth="1"/>
    <col min="13320" max="13320" width="9" style="201" customWidth="1"/>
    <col min="13321" max="13321" width="10.28515625" style="201" customWidth="1"/>
    <col min="13322" max="13322" width="9.140625" style="201"/>
    <col min="13323" max="13323" width="9.28515625" style="201" bestFit="1" customWidth="1"/>
    <col min="13324" max="13568" width="9.140625" style="201"/>
    <col min="13569" max="13569" width="10.5703125" style="201" customWidth="1"/>
    <col min="13570" max="13572" width="8.7109375" style="201" customWidth="1"/>
    <col min="13573" max="13573" width="10.140625" style="201" customWidth="1"/>
    <col min="13574" max="13574" width="9.7109375" style="201" customWidth="1"/>
    <col min="13575" max="13575" width="8.42578125" style="201" customWidth="1"/>
    <col min="13576" max="13576" width="9" style="201" customWidth="1"/>
    <col min="13577" max="13577" width="10.28515625" style="201" customWidth="1"/>
    <col min="13578" max="13578" width="9.140625" style="201"/>
    <col min="13579" max="13579" width="9.28515625" style="201" bestFit="1" customWidth="1"/>
    <col min="13580" max="13824" width="9.140625" style="201"/>
    <col min="13825" max="13825" width="10.5703125" style="201" customWidth="1"/>
    <col min="13826" max="13828" width="8.7109375" style="201" customWidth="1"/>
    <col min="13829" max="13829" width="10.140625" style="201" customWidth="1"/>
    <col min="13830" max="13830" width="9.7109375" style="201" customWidth="1"/>
    <col min="13831" max="13831" width="8.42578125" style="201" customWidth="1"/>
    <col min="13832" max="13832" width="9" style="201" customWidth="1"/>
    <col min="13833" max="13833" width="10.28515625" style="201" customWidth="1"/>
    <col min="13834" max="13834" width="9.140625" style="201"/>
    <col min="13835" max="13835" width="9.28515625" style="201" bestFit="1" customWidth="1"/>
    <col min="13836" max="14080" width="9.140625" style="201"/>
    <col min="14081" max="14081" width="10.5703125" style="201" customWidth="1"/>
    <col min="14082" max="14084" width="8.7109375" style="201" customWidth="1"/>
    <col min="14085" max="14085" width="10.140625" style="201" customWidth="1"/>
    <col min="14086" max="14086" width="9.7109375" style="201" customWidth="1"/>
    <col min="14087" max="14087" width="8.42578125" style="201" customWidth="1"/>
    <col min="14088" max="14088" width="9" style="201" customWidth="1"/>
    <col min="14089" max="14089" width="10.28515625" style="201" customWidth="1"/>
    <col min="14090" max="14090" width="9.140625" style="201"/>
    <col min="14091" max="14091" width="9.28515625" style="201" bestFit="1" customWidth="1"/>
    <col min="14092" max="14336" width="9.140625" style="201"/>
    <col min="14337" max="14337" width="10.5703125" style="201" customWidth="1"/>
    <col min="14338" max="14340" width="8.7109375" style="201" customWidth="1"/>
    <col min="14341" max="14341" width="10.140625" style="201" customWidth="1"/>
    <col min="14342" max="14342" width="9.7109375" style="201" customWidth="1"/>
    <col min="14343" max="14343" width="8.42578125" style="201" customWidth="1"/>
    <col min="14344" max="14344" width="9" style="201" customWidth="1"/>
    <col min="14345" max="14345" width="10.28515625" style="201" customWidth="1"/>
    <col min="14346" max="14346" width="9.140625" style="201"/>
    <col min="14347" max="14347" width="9.28515625" style="201" bestFit="1" customWidth="1"/>
    <col min="14348" max="14592" width="9.140625" style="201"/>
    <col min="14593" max="14593" width="10.5703125" style="201" customWidth="1"/>
    <col min="14594" max="14596" width="8.7109375" style="201" customWidth="1"/>
    <col min="14597" max="14597" width="10.140625" style="201" customWidth="1"/>
    <col min="14598" max="14598" width="9.7109375" style="201" customWidth="1"/>
    <col min="14599" max="14599" width="8.42578125" style="201" customWidth="1"/>
    <col min="14600" max="14600" width="9" style="201" customWidth="1"/>
    <col min="14601" max="14601" width="10.28515625" style="201" customWidth="1"/>
    <col min="14602" max="14602" width="9.140625" style="201"/>
    <col min="14603" max="14603" width="9.28515625" style="201" bestFit="1" customWidth="1"/>
    <col min="14604" max="14848" width="9.140625" style="201"/>
    <col min="14849" max="14849" width="10.5703125" style="201" customWidth="1"/>
    <col min="14850" max="14852" width="8.7109375" style="201" customWidth="1"/>
    <col min="14853" max="14853" width="10.140625" style="201" customWidth="1"/>
    <col min="14854" max="14854" width="9.7109375" style="201" customWidth="1"/>
    <col min="14855" max="14855" width="8.42578125" style="201" customWidth="1"/>
    <col min="14856" max="14856" width="9" style="201" customWidth="1"/>
    <col min="14857" max="14857" width="10.28515625" style="201" customWidth="1"/>
    <col min="14858" max="14858" width="9.140625" style="201"/>
    <col min="14859" max="14859" width="9.28515625" style="201" bestFit="1" customWidth="1"/>
    <col min="14860" max="15104" width="9.140625" style="201"/>
    <col min="15105" max="15105" width="10.5703125" style="201" customWidth="1"/>
    <col min="15106" max="15108" width="8.7109375" style="201" customWidth="1"/>
    <col min="15109" max="15109" width="10.140625" style="201" customWidth="1"/>
    <col min="15110" max="15110" width="9.7109375" style="201" customWidth="1"/>
    <col min="15111" max="15111" width="8.42578125" style="201" customWidth="1"/>
    <col min="15112" max="15112" width="9" style="201" customWidth="1"/>
    <col min="15113" max="15113" width="10.28515625" style="201" customWidth="1"/>
    <col min="15114" max="15114" width="9.140625" style="201"/>
    <col min="15115" max="15115" width="9.28515625" style="201" bestFit="1" customWidth="1"/>
    <col min="15116" max="15360" width="9.140625" style="201"/>
    <col min="15361" max="15361" width="10.5703125" style="201" customWidth="1"/>
    <col min="15362" max="15364" width="8.7109375" style="201" customWidth="1"/>
    <col min="15365" max="15365" width="10.140625" style="201" customWidth="1"/>
    <col min="15366" max="15366" width="9.7109375" style="201" customWidth="1"/>
    <col min="15367" max="15367" width="8.42578125" style="201" customWidth="1"/>
    <col min="15368" max="15368" width="9" style="201" customWidth="1"/>
    <col min="15369" max="15369" width="10.28515625" style="201" customWidth="1"/>
    <col min="15370" max="15370" width="9.140625" style="201"/>
    <col min="15371" max="15371" width="9.28515625" style="201" bestFit="1" customWidth="1"/>
    <col min="15372" max="15616" width="9.140625" style="201"/>
    <col min="15617" max="15617" width="10.5703125" style="201" customWidth="1"/>
    <col min="15618" max="15620" width="8.7109375" style="201" customWidth="1"/>
    <col min="15621" max="15621" width="10.140625" style="201" customWidth="1"/>
    <col min="15622" max="15622" width="9.7109375" style="201" customWidth="1"/>
    <col min="15623" max="15623" width="8.42578125" style="201" customWidth="1"/>
    <col min="15624" max="15624" width="9" style="201" customWidth="1"/>
    <col min="15625" max="15625" width="10.28515625" style="201" customWidth="1"/>
    <col min="15626" max="15626" width="9.140625" style="201"/>
    <col min="15627" max="15627" width="9.28515625" style="201" bestFit="1" customWidth="1"/>
    <col min="15628" max="15872" width="9.140625" style="201"/>
    <col min="15873" max="15873" width="10.5703125" style="201" customWidth="1"/>
    <col min="15874" max="15876" width="8.7109375" style="201" customWidth="1"/>
    <col min="15877" max="15877" width="10.140625" style="201" customWidth="1"/>
    <col min="15878" max="15878" width="9.7109375" style="201" customWidth="1"/>
    <col min="15879" max="15879" width="8.42578125" style="201" customWidth="1"/>
    <col min="15880" max="15880" width="9" style="201" customWidth="1"/>
    <col min="15881" max="15881" width="10.28515625" style="201" customWidth="1"/>
    <col min="15882" max="15882" width="9.140625" style="201"/>
    <col min="15883" max="15883" width="9.28515625" style="201" bestFit="1" customWidth="1"/>
    <col min="15884" max="16128" width="9.140625" style="201"/>
    <col min="16129" max="16129" width="10.5703125" style="201" customWidth="1"/>
    <col min="16130" max="16132" width="8.7109375" style="201" customWidth="1"/>
    <col min="16133" max="16133" width="10.140625" style="201" customWidth="1"/>
    <col min="16134" max="16134" width="9.7109375" style="201" customWidth="1"/>
    <col min="16135" max="16135" width="8.42578125" style="201" customWidth="1"/>
    <col min="16136" max="16136" width="9" style="201" customWidth="1"/>
    <col min="16137" max="16137" width="10.28515625" style="201" customWidth="1"/>
    <col min="16138" max="16138" width="9.140625" style="201"/>
    <col min="16139" max="16139" width="9.28515625" style="201" bestFit="1" customWidth="1"/>
    <col min="16140" max="16384" width="9.140625" style="201"/>
  </cols>
  <sheetData>
    <row r="1" spans="1:12">
      <c r="A1" s="378" t="s">
        <v>303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>
      <c r="A2" s="378"/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</row>
    <row r="3" spans="1:12" ht="13.5" thickBot="1">
      <c r="A3" s="379"/>
      <c r="B3" s="379"/>
      <c r="C3" s="379"/>
      <c r="D3" s="379"/>
      <c r="E3" s="379"/>
      <c r="F3" s="379"/>
      <c r="G3" s="379"/>
      <c r="H3" s="379"/>
      <c r="I3" s="379"/>
      <c r="J3" s="379"/>
      <c r="K3" s="379"/>
      <c r="L3" s="379"/>
    </row>
    <row r="4" spans="1:12">
      <c r="A4" s="380" t="s">
        <v>304</v>
      </c>
      <c r="B4" s="382" t="s">
        <v>305</v>
      </c>
      <c r="C4" s="384" t="s">
        <v>306</v>
      </c>
      <c r="D4" s="382" t="s">
        <v>307</v>
      </c>
      <c r="E4" s="386" t="s">
        <v>308</v>
      </c>
      <c r="F4" s="388" t="s">
        <v>309</v>
      </c>
      <c r="G4" s="382" t="s">
        <v>310</v>
      </c>
      <c r="H4" s="390" t="s">
        <v>311</v>
      </c>
      <c r="I4" s="390" t="s">
        <v>312</v>
      </c>
      <c r="J4" s="392" t="s">
        <v>313</v>
      </c>
      <c r="K4" s="394" t="s">
        <v>314</v>
      </c>
      <c r="L4" s="396" t="s">
        <v>315</v>
      </c>
    </row>
    <row r="5" spans="1:12" ht="13.5" thickBot="1">
      <c r="A5" s="381"/>
      <c r="B5" s="383"/>
      <c r="C5" s="385"/>
      <c r="D5" s="383"/>
      <c r="E5" s="387"/>
      <c r="F5" s="389"/>
      <c r="G5" s="383"/>
      <c r="H5" s="391"/>
      <c r="I5" s="391"/>
      <c r="J5" s="393"/>
      <c r="K5" s="395"/>
      <c r="L5" s="397"/>
    </row>
    <row r="6" spans="1:12" ht="20.100000000000001" customHeight="1">
      <c r="A6" s="338" t="s">
        <v>316</v>
      </c>
      <c r="B6" s="202">
        <v>4.5279999999999996</v>
      </c>
      <c r="C6" s="203">
        <v>2</v>
      </c>
      <c r="D6" s="202">
        <v>4.2202000000000002</v>
      </c>
      <c r="E6" s="204">
        <f t="shared" ref="E6:E15" si="0">(B6+D6)/2</f>
        <v>4.3741000000000003</v>
      </c>
      <c r="F6" s="203">
        <v>1</v>
      </c>
      <c r="G6" s="202">
        <v>4.3520000000000003</v>
      </c>
      <c r="H6" s="205">
        <v>4.5312999999999999</v>
      </c>
      <c r="I6" s="204">
        <f t="shared" ref="I6:I15" si="1">(G6+H6)/2</f>
        <v>4.4416500000000001</v>
      </c>
      <c r="J6" s="203">
        <v>1</v>
      </c>
      <c r="K6" s="206">
        <f t="shared" ref="K6:K15" si="2">(E6+I6)/2</f>
        <v>4.4078750000000007</v>
      </c>
      <c r="L6" s="207">
        <v>1</v>
      </c>
    </row>
    <row r="7" spans="1:12" ht="20.100000000000001" customHeight="1">
      <c r="A7" s="338">
        <v>6</v>
      </c>
      <c r="B7" s="202">
        <v>4.4740000000000002</v>
      </c>
      <c r="C7" s="203">
        <v>4</v>
      </c>
      <c r="D7" s="202">
        <v>4.2652999999999999</v>
      </c>
      <c r="E7" s="204">
        <f t="shared" si="0"/>
        <v>4.36965</v>
      </c>
      <c r="F7" s="203">
        <v>2</v>
      </c>
      <c r="G7" s="202">
        <v>4.0347999999999997</v>
      </c>
      <c r="H7" s="205">
        <v>4.3</v>
      </c>
      <c r="I7" s="204">
        <f t="shared" si="1"/>
        <v>4.1673999999999998</v>
      </c>
      <c r="J7" s="203">
        <v>2</v>
      </c>
      <c r="K7" s="206">
        <f t="shared" si="2"/>
        <v>4.2685250000000003</v>
      </c>
      <c r="L7" s="207">
        <v>2</v>
      </c>
    </row>
    <row r="8" spans="1:12" ht="20.100000000000001" customHeight="1">
      <c r="A8" s="338" t="s">
        <v>317</v>
      </c>
      <c r="B8" s="202">
        <v>4.375</v>
      </c>
      <c r="C8" s="203">
        <v>6</v>
      </c>
      <c r="D8" s="202">
        <v>4.25</v>
      </c>
      <c r="E8" s="204">
        <f t="shared" si="0"/>
        <v>4.3125</v>
      </c>
      <c r="F8" s="203">
        <v>3</v>
      </c>
      <c r="G8" s="202">
        <v>3.9933000000000001</v>
      </c>
      <c r="H8" s="205">
        <v>4.0750000000000002</v>
      </c>
      <c r="I8" s="204">
        <f t="shared" si="1"/>
        <v>4.0341500000000003</v>
      </c>
      <c r="J8" s="203">
        <v>4</v>
      </c>
      <c r="K8" s="206">
        <f t="shared" si="2"/>
        <v>4.1733250000000002</v>
      </c>
      <c r="L8" s="207">
        <v>3</v>
      </c>
    </row>
    <row r="9" spans="1:12" ht="20.100000000000001" customHeight="1">
      <c r="A9" s="338" t="s">
        <v>318</v>
      </c>
      <c r="B9" s="202">
        <v>4.4249999999999998</v>
      </c>
      <c r="C9" s="203">
        <v>5</v>
      </c>
      <c r="D9" s="202">
        <v>4.1943999999999999</v>
      </c>
      <c r="E9" s="204">
        <f t="shared" si="0"/>
        <v>4.3096999999999994</v>
      </c>
      <c r="F9" s="203">
        <v>4</v>
      </c>
      <c r="G9" s="202">
        <v>3.944</v>
      </c>
      <c r="H9" s="205">
        <v>4.0805999999999996</v>
      </c>
      <c r="I9" s="204">
        <f t="shared" si="1"/>
        <v>4.0122999999999998</v>
      </c>
      <c r="J9" s="203">
        <v>6</v>
      </c>
      <c r="K9" s="206">
        <f t="shared" si="2"/>
        <v>4.1609999999999996</v>
      </c>
      <c r="L9" s="207">
        <v>4</v>
      </c>
    </row>
    <row r="10" spans="1:12" ht="20.100000000000001" customHeight="1">
      <c r="A10" s="338" t="s">
        <v>319</v>
      </c>
      <c r="B10" s="202">
        <v>4.4950000000000001</v>
      </c>
      <c r="C10" s="203">
        <v>3</v>
      </c>
      <c r="D10" s="202">
        <v>4.0766999999999998</v>
      </c>
      <c r="E10" s="204">
        <f t="shared" si="0"/>
        <v>4.2858499999999999</v>
      </c>
      <c r="F10" s="203">
        <v>5</v>
      </c>
      <c r="G10" s="202">
        <v>3.9064000000000001</v>
      </c>
      <c r="H10" s="205">
        <v>4.1478999999999999</v>
      </c>
      <c r="I10" s="204">
        <f t="shared" si="1"/>
        <v>4.0271499999999998</v>
      </c>
      <c r="J10" s="203">
        <v>5</v>
      </c>
      <c r="K10" s="206">
        <f t="shared" si="2"/>
        <v>4.1564999999999994</v>
      </c>
      <c r="L10" s="207">
        <v>5</v>
      </c>
    </row>
    <row r="11" spans="1:12" ht="20.100000000000001" customHeight="1">
      <c r="A11" s="338" t="s">
        <v>320</v>
      </c>
      <c r="B11" s="202">
        <v>4.3109999999999999</v>
      </c>
      <c r="C11" s="203">
        <v>7</v>
      </c>
      <c r="D11" s="202">
        <v>3.9937999999999998</v>
      </c>
      <c r="E11" s="204">
        <f t="shared" si="0"/>
        <v>4.1524000000000001</v>
      </c>
      <c r="F11" s="203">
        <v>9</v>
      </c>
      <c r="G11" s="202">
        <v>4.1100000000000003</v>
      </c>
      <c r="H11" s="205">
        <v>4.0411000000000001</v>
      </c>
      <c r="I11" s="204">
        <f t="shared" si="1"/>
        <v>4.0755499999999998</v>
      </c>
      <c r="J11" s="203">
        <v>3</v>
      </c>
      <c r="K11" s="206">
        <f t="shared" si="2"/>
        <v>4.1139749999999999</v>
      </c>
      <c r="L11" s="207">
        <v>6</v>
      </c>
    </row>
    <row r="12" spans="1:12" ht="20.100000000000001" customHeight="1">
      <c r="A12" s="338" t="s">
        <v>321</v>
      </c>
      <c r="B12" s="202">
        <v>4.1749999999999998</v>
      </c>
      <c r="C12" s="203">
        <v>9</v>
      </c>
      <c r="D12" s="202">
        <v>4.2104999999999997</v>
      </c>
      <c r="E12" s="204">
        <f t="shared" si="0"/>
        <v>4.1927500000000002</v>
      </c>
      <c r="F12" s="203">
        <v>7</v>
      </c>
      <c r="G12" s="202">
        <v>4.0476999999999999</v>
      </c>
      <c r="H12" s="205">
        <v>3.8904999999999998</v>
      </c>
      <c r="I12" s="204">
        <f t="shared" si="1"/>
        <v>3.9691000000000001</v>
      </c>
      <c r="J12" s="203">
        <v>7</v>
      </c>
      <c r="K12" s="206">
        <f t="shared" si="2"/>
        <v>4.0809250000000006</v>
      </c>
      <c r="L12" s="207">
        <v>7</v>
      </c>
    </row>
    <row r="13" spans="1:12" ht="20.100000000000001" customHeight="1">
      <c r="A13" s="338">
        <v>11</v>
      </c>
      <c r="B13" s="202">
        <v>4.2930000000000001</v>
      </c>
      <c r="C13" s="203">
        <v>8</v>
      </c>
      <c r="D13" s="202">
        <v>4.0198999999999998</v>
      </c>
      <c r="E13" s="204">
        <f t="shared" si="0"/>
        <v>4.1564499999999995</v>
      </c>
      <c r="F13" s="203">
        <v>8</v>
      </c>
      <c r="G13" s="202">
        <v>4.0048000000000004</v>
      </c>
      <c r="H13" s="205">
        <v>3.7768000000000002</v>
      </c>
      <c r="I13" s="204">
        <f t="shared" si="1"/>
        <v>3.8908000000000005</v>
      </c>
      <c r="J13" s="203">
        <v>8</v>
      </c>
      <c r="K13" s="206">
        <f t="shared" si="2"/>
        <v>4.023625</v>
      </c>
      <c r="L13" s="207">
        <v>8</v>
      </c>
    </row>
    <row r="14" spans="1:12" ht="20.100000000000001" customHeight="1">
      <c r="A14" s="339">
        <v>10</v>
      </c>
      <c r="B14" s="202">
        <v>4.0940000000000003</v>
      </c>
      <c r="C14" s="203">
        <v>10</v>
      </c>
      <c r="D14" s="202">
        <v>4.3144999999999998</v>
      </c>
      <c r="E14" s="204">
        <f t="shared" si="0"/>
        <v>4.20425</v>
      </c>
      <c r="F14" s="203">
        <v>6</v>
      </c>
      <c r="G14" s="202">
        <v>3.5358999999999998</v>
      </c>
      <c r="H14" s="205">
        <v>3.8144</v>
      </c>
      <c r="I14" s="204">
        <f t="shared" si="1"/>
        <v>3.6751499999999999</v>
      </c>
      <c r="J14" s="203">
        <v>10</v>
      </c>
      <c r="K14" s="206">
        <f t="shared" si="2"/>
        <v>3.9397000000000002</v>
      </c>
      <c r="L14" s="207">
        <v>9</v>
      </c>
    </row>
    <row r="15" spans="1:12" ht="20.100000000000001" customHeight="1" thickBot="1">
      <c r="A15" s="340">
        <v>8</v>
      </c>
      <c r="B15" s="208">
        <v>4.5419999999999998</v>
      </c>
      <c r="C15" s="209">
        <v>1</v>
      </c>
      <c r="D15" s="208">
        <v>3.7444000000000002</v>
      </c>
      <c r="E15" s="210">
        <f t="shared" si="0"/>
        <v>4.1432000000000002</v>
      </c>
      <c r="F15" s="209">
        <v>10</v>
      </c>
      <c r="G15" s="208">
        <v>3.3132999999999999</v>
      </c>
      <c r="H15" s="211">
        <v>4.0929000000000002</v>
      </c>
      <c r="I15" s="210">
        <f t="shared" si="1"/>
        <v>3.7031000000000001</v>
      </c>
      <c r="J15" s="209">
        <v>9</v>
      </c>
      <c r="K15" s="212">
        <f t="shared" si="2"/>
        <v>3.9231500000000001</v>
      </c>
      <c r="L15" s="213">
        <v>10</v>
      </c>
    </row>
    <row r="16" spans="1:12" ht="44.25" customHeight="1" thickBot="1">
      <c r="A16" s="341" t="s">
        <v>402</v>
      </c>
      <c r="B16" s="398">
        <f>AVERAGE(B6:B15)</f>
        <v>4.3712</v>
      </c>
      <c r="C16" s="399"/>
      <c r="D16" s="214">
        <f>AVERAGE(D6:D15)</f>
        <v>4.1289700000000007</v>
      </c>
      <c r="E16" s="400">
        <f>AVERAGE(B16:D16)</f>
        <v>4.2500850000000003</v>
      </c>
      <c r="F16" s="401"/>
      <c r="G16" s="214">
        <f>AVERAGE(G6:G15)</f>
        <v>3.9242199999999996</v>
      </c>
      <c r="H16" s="215">
        <f>AVERAGE(H6:H15)</f>
        <v>4.0750499999999992</v>
      </c>
      <c r="I16" s="402">
        <f>AVERAGE(G16:H16)</f>
        <v>3.9996349999999996</v>
      </c>
      <c r="J16" s="399"/>
      <c r="K16" s="403">
        <f>AVERAGE(E16,I16)</f>
        <v>4.12486</v>
      </c>
      <c r="L16" s="401"/>
    </row>
    <row r="18" spans="4:4">
      <c r="D18" s="201" t="s">
        <v>322</v>
      </c>
    </row>
  </sheetData>
  <mergeCells count="17">
    <mergeCell ref="B16:C16"/>
    <mergeCell ref="E16:F16"/>
    <mergeCell ref="I16:J16"/>
    <mergeCell ref="K16:L16"/>
    <mergeCell ref="A1:L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rintOptions horizontalCentered="1" verticalCentered="1"/>
  <pageMargins left="0.15748031496062992" right="0.15748031496062992" top="0.19685039370078741" bottom="0.19685039370078741" header="0.51181102362204722" footer="0.51181102362204722"/>
  <pageSetup paperSize="9" scale="125" orientation="landscape" horizontalDpi="4294967292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58"/>
  <sheetViews>
    <sheetView zoomScale="90" zoomScaleNormal="90" workbookViewId="0">
      <selection activeCell="A4" sqref="A4"/>
    </sheetView>
  </sheetViews>
  <sheetFormatPr defaultColWidth="9" defaultRowHeight="12.75"/>
  <cols>
    <col min="1" max="1" width="24.85546875" style="1" customWidth="1"/>
    <col min="2" max="3" width="9" style="1" bestFit="1" customWidth="1"/>
    <col min="4" max="4" width="9.5703125" style="1" bestFit="1" customWidth="1"/>
    <col min="5" max="5" width="9" style="1" bestFit="1" customWidth="1"/>
    <col min="6" max="6" width="10" style="1" customWidth="1"/>
    <col min="7" max="7" width="9.85546875" style="1" customWidth="1"/>
    <col min="8" max="12" width="9" style="1" bestFit="1" customWidth="1"/>
    <col min="13" max="13" width="10.140625" style="1" customWidth="1"/>
    <col min="14" max="16384" width="9" style="1"/>
  </cols>
  <sheetData>
    <row r="1" spans="1:13" ht="12.75" customHeight="1">
      <c r="A1" s="404" t="s">
        <v>367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</row>
    <row r="2" spans="1:13" ht="12.75" customHeight="1" thickBot="1">
      <c r="A2" s="404"/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</row>
    <row r="3" spans="1:13" ht="51.75" thickBot="1">
      <c r="A3" s="271" t="s">
        <v>366</v>
      </c>
      <c r="B3" s="278" t="s">
        <v>304</v>
      </c>
      <c r="C3" s="274" t="s">
        <v>365</v>
      </c>
      <c r="D3" s="273" t="s">
        <v>364</v>
      </c>
      <c r="E3" s="297" t="s">
        <v>363</v>
      </c>
      <c r="F3" s="272" t="s">
        <v>362</v>
      </c>
      <c r="G3" s="273" t="s">
        <v>361</v>
      </c>
      <c r="H3" s="297" t="s">
        <v>360</v>
      </c>
      <c r="I3" s="272" t="s">
        <v>359</v>
      </c>
      <c r="J3" s="273" t="s">
        <v>358</v>
      </c>
      <c r="K3" s="297" t="s">
        <v>357</v>
      </c>
      <c r="L3" s="273" t="s">
        <v>356</v>
      </c>
      <c r="M3" s="305" t="s">
        <v>315</v>
      </c>
    </row>
    <row r="4" spans="1:13">
      <c r="A4" s="270" t="s">
        <v>355</v>
      </c>
      <c r="B4" s="279" t="s">
        <v>316</v>
      </c>
      <c r="C4" s="275">
        <v>78</v>
      </c>
      <c r="D4" s="286" t="s">
        <v>327</v>
      </c>
      <c r="E4" s="298">
        <v>85</v>
      </c>
      <c r="F4" s="222">
        <f t="shared" ref="F4:F18" si="0">SUM(C4,E4)</f>
        <v>163</v>
      </c>
      <c r="G4" s="299">
        <v>6</v>
      </c>
      <c r="H4" s="298">
        <v>90</v>
      </c>
      <c r="I4" s="222">
        <f t="shared" ref="I4:I18" si="1">SUM(F4,H4)</f>
        <v>253</v>
      </c>
      <c r="J4" s="299">
        <v>1</v>
      </c>
      <c r="K4" s="298">
        <v>76</v>
      </c>
      <c r="L4" s="310">
        <f t="shared" ref="L4:L18" si="2">SUM(I4,K4)</f>
        <v>329</v>
      </c>
      <c r="M4" s="306">
        <v>1</v>
      </c>
    </row>
    <row r="5" spans="1:13">
      <c r="A5" s="263" t="s">
        <v>113</v>
      </c>
      <c r="B5" s="280">
        <v>6</v>
      </c>
      <c r="C5" s="276">
        <v>79</v>
      </c>
      <c r="D5" s="287" t="s">
        <v>343</v>
      </c>
      <c r="E5" s="300">
        <v>100</v>
      </c>
      <c r="F5" s="221">
        <f t="shared" si="0"/>
        <v>179</v>
      </c>
      <c r="G5" s="301">
        <v>2</v>
      </c>
      <c r="H5" s="300">
        <v>68</v>
      </c>
      <c r="I5" s="221">
        <f t="shared" si="1"/>
        <v>247</v>
      </c>
      <c r="J5" s="301">
        <v>2</v>
      </c>
      <c r="K5" s="300">
        <v>70</v>
      </c>
      <c r="L5" s="311">
        <f t="shared" si="2"/>
        <v>317</v>
      </c>
      <c r="M5" s="307">
        <v>2</v>
      </c>
    </row>
    <row r="6" spans="1:13">
      <c r="A6" s="263" t="s">
        <v>114</v>
      </c>
      <c r="B6" s="280">
        <v>6</v>
      </c>
      <c r="C6" s="276">
        <v>76</v>
      </c>
      <c r="D6" s="287" t="s">
        <v>349</v>
      </c>
      <c r="E6" s="300">
        <v>99</v>
      </c>
      <c r="F6" s="221">
        <f t="shared" si="0"/>
        <v>175</v>
      </c>
      <c r="G6" s="301">
        <v>4</v>
      </c>
      <c r="H6" s="300">
        <v>53</v>
      </c>
      <c r="I6" s="221">
        <f t="shared" si="1"/>
        <v>228</v>
      </c>
      <c r="J6" s="301">
        <v>3</v>
      </c>
      <c r="K6" s="300">
        <v>71</v>
      </c>
      <c r="L6" s="311">
        <f t="shared" si="2"/>
        <v>299</v>
      </c>
      <c r="M6" s="307">
        <v>3</v>
      </c>
    </row>
    <row r="7" spans="1:13">
      <c r="A7" s="263" t="s">
        <v>149</v>
      </c>
      <c r="B7" s="280" t="s">
        <v>316</v>
      </c>
      <c r="C7" s="276">
        <v>72</v>
      </c>
      <c r="D7" s="288"/>
      <c r="E7" s="300">
        <v>78</v>
      </c>
      <c r="F7" s="221">
        <f t="shared" si="0"/>
        <v>150</v>
      </c>
      <c r="G7" s="301" t="s">
        <v>342</v>
      </c>
      <c r="H7" s="300">
        <v>50</v>
      </c>
      <c r="I7" s="221">
        <f t="shared" si="1"/>
        <v>200</v>
      </c>
      <c r="J7" s="301" t="s">
        <v>327</v>
      </c>
      <c r="K7" s="300">
        <v>72</v>
      </c>
      <c r="L7" s="311">
        <f t="shared" si="2"/>
        <v>272</v>
      </c>
      <c r="M7" s="307">
        <v>4</v>
      </c>
    </row>
    <row r="8" spans="1:13">
      <c r="A8" s="263" t="s">
        <v>354</v>
      </c>
      <c r="B8" s="280" t="s">
        <v>317</v>
      </c>
      <c r="C8" s="276">
        <v>76</v>
      </c>
      <c r="D8" s="287" t="s">
        <v>349</v>
      </c>
      <c r="E8" s="300">
        <v>70</v>
      </c>
      <c r="F8" s="221">
        <f t="shared" si="0"/>
        <v>146</v>
      </c>
      <c r="G8" s="301" t="s">
        <v>340</v>
      </c>
      <c r="H8" s="300">
        <v>65</v>
      </c>
      <c r="I8" s="221">
        <f t="shared" si="1"/>
        <v>211</v>
      </c>
      <c r="J8" s="301">
        <v>5</v>
      </c>
      <c r="K8" s="300">
        <v>60</v>
      </c>
      <c r="L8" s="311">
        <f t="shared" si="2"/>
        <v>271</v>
      </c>
      <c r="M8" s="307" t="s">
        <v>323</v>
      </c>
    </row>
    <row r="9" spans="1:13">
      <c r="A9" s="263" t="s">
        <v>353</v>
      </c>
      <c r="B9" s="280" t="s">
        <v>318</v>
      </c>
      <c r="C9" s="276">
        <v>80</v>
      </c>
      <c r="D9" s="287" t="s">
        <v>346</v>
      </c>
      <c r="E9" s="300">
        <v>66</v>
      </c>
      <c r="F9" s="221">
        <f t="shared" si="0"/>
        <v>146</v>
      </c>
      <c r="G9" s="301" t="s">
        <v>340</v>
      </c>
      <c r="H9" s="300">
        <v>59</v>
      </c>
      <c r="I9" s="221">
        <f t="shared" si="1"/>
        <v>205</v>
      </c>
      <c r="J9" s="301">
        <v>6</v>
      </c>
      <c r="K9" s="300">
        <v>66</v>
      </c>
      <c r="L9" s="311">
        <f t="shared" si="2"/>
        <v>271</v>
      </c>
      <c r="M9" s="307" t="s">
        <v>323</v>
      </c>
    </row>
    <row r="10" spans="1:13">
      <c r="A10" s="263" t="s">
        <v>352</v>
      </c>
      <c r="B10" s="280" t="s">
        <v>321</v>
      </c>
      <c r="C10" s="276">
        <v>61</v>
      </c>
      <c r="D10" s="288"/>
      <c r="E10" s="300">
        <v>98</v>
      </c>
      <c r="F10" s="221">
        <f t="shared" si="0"/>
        <v>159</v>
      </c>
      <c r="G10" s="301" t="s">
        <v>343</v>
      </c>
      <c r="H10" s="300">
        <v>58</v>
      </c>
      <c r="I10" s="221">
        <f t="shared" si="1"/>
        <v>217</v>
      </c>
      <c r="J10" s="301">
        <v>4</v>
      </c>
      <c r="K10" s="300">
        <v>52</v>
      </c>
      <c r="L10" s="311">
        <f t="shared" si="2"/>
        <v>269</v>
      </c>
      <c r="M10" s="307">
        <v>7</v>
      </c>
    </row>
    <row r="11" spans="1:13">
      <c r="A11" s="263" t="s">
        <v>351</v>
      </c>
      <c r="B11" s="280">
        <v>10</v>
      </c>
      <c r="C11" s="276">
        <v>80</v>
      </c>
      <c r="D11" s="287" t="s">
        <v>346</v>
      </c>
      <c r="E11" s="300">
        <v>97</v>
      </c>
      <c r="F11" s="221">
        <f t="shared" si="0"/>
        <v>177</v>
      </c>
      <c r="G11" s="301">
        <v>3</v>
      </c>
      <c r="H11" s="300">
        <v>18</v>
      </c>
      <c r="I11" s="221">
        <f t="shared" si="1"/>
        <v>195</v>
      </c>
      <c r="J11" s="301" t="s">
        <v>340</v>
      </c>
      <c r="K11" s="300">
        <v>72</v>
      </c>
      <c r="L11" s="311">
        <f t="shared" si="2"/>
        <v>267</v>
      </c>
      <c r="M11" s="307">
        <v>8</v>
      </c>
    </row>
    <row r="12" spans="1:13">
      <c r="A12" s="263" t="s">
        <v>32</v>
      </c>
      <c r="B12" s="280" t="s">
        <v>318</v>
      </c>
      <c r="C12" s="276">
        <v>80</v>
      </c>
      <c r="D12" s="287" t="s">
        <v>346</v>
      </c>
      <c r="E12" s="300">
        <v>100</v>
      </c>
      <c r="F12" s="221">
        <f t="shared" si="0"/>
        <v>180</v>
      </c>
      <c r="G12" s="301">
        <v>1</v>
      </c>
      <c r="H12" s="300">
        <v>20</v>
      </c>
      <c r="I12" s="221">
        <f t="shared" si="1"/>
        <v>200</v>
      </c>
      <c r="J12" s="301" t="s">
        <v>327</v>
      </c>
      <c r="K12" s="300">
        <v>66</v>
      </c>
      <c r="L12" s="311">
        <f t="shared" si="2"/>
        <v>266</v>
      </c>
      <c r="M12" s="307">
        <v>9</v>
      </c>
    </row>
    <row r="13" spans="1:13">
      <c r="A13" s="263" t="s">
        <v>350</v>
      </c>
      <c r="B13" s="280" t="s">
        <v>320</v>
      </c>
      <c r="C13" s="276">
        <v>76</v>
      </c>
      <c r="D13" s="287" t="s">
        <v>349</v>
      </c>
      <c r="E13" s="300">
        <v>76</v>
      </c>
      <c r="F13" s="221">
        <f t="shared" si="0"/>
        <v>152</v>
      </c>
      <c r="G13" s="301">
        <v>10</v>
      </c>
      <c r="H13" s="300">
        <v>49</v>
      </c>
      <c r="I13" s="221">
        <f t="shared" si="1"/>
        <v>201</v>
      </c>
      <c r="J13" s="301">
        <v>8</v>
      </c>
      <c r="K13" s="300">
        <v>63</v>
      </c>
      <c r="L13" s="311">
        <f t="shared" si="2"/>
        <v>264</v>
      </c>
      <c r="M13" s="307">
        <v>10</v>
      </c>
    </row>
    <row r="14" spans="1:13">
      <c r="A14" s="263" t="s">
        <v>348</v>
      </c>
      <c r="B14" s="280" t="s">
        <v>321</v>
      </c>
      <c r="C14" s="276">
        <v>71</v>
      </c>
      <c r="D14" s="289"/>
      <c r="E14" s="300">
        <v>70</v>
      </c>
      <c r="F14" s="221">
        <f t="shared" si="0"/>
        <v>141</v>
      </c>
      <c r="G14" s="289"/>
      <c r="H14" s="300">
        <v>57</v>
      </c>
      <c r="I14" s="221">
        <f t="shared" si="1"/>
        <v>198</v>
      </c>
      <c r="J14" s="301">
        <v>11</v>
      </c>
      <c r="K14" s="300">
        <v>65</v>
      </c>
      <c r="L14" s="311">
        <f t="shared" si="2"/>
        <v>263</v>
      </c>
      <c r="M14" s="308">
        <v>11</v>
      </c>
    </row>
    <row r="15" spans="1:13">
      <c r="A15" s="263" t="s">
        <v>347</v>
      </c>
      <c r="B15" s="280" t="s">
        <v>320</v>
      </c>
      <c r="C15" s="276">
        <v>80</v>
      </c>
      <c r="D15" s="287" t="s">
        <v>346</v>
      </c>
      <c r="E15" s="300">
        <v>74</v>
      </c>
      <c r="F15" s="221">
        <f t="shared" si="0"/>
        <v>154</v>
      </c>
      <c r="G15" s="301">
        <v>9</v>
      </c>
      <c r="H15" s="300">
        <v>33</v>
      </c>
      <c r="I15" s="221">
        <f t="shared" si="1"/>
        <v>187</v>
      </c>
      <c r="J15" s="289"/>
      <c r="K15" s="300">
        <v>74</v>
      </c>
      <c r="L15" s="311">
        <f t="shared" si="2"/>
        <v>261</v>
      </c>
      <c r="M15" s="307">
        <v>12</v>
      </c>
    </row>
    <row r="16" spans="1:13">
      <c r="A16" s="263" t="s">
        <v>345</v>
      </c>
      <c r="B16" s="280" t="s">
        <v>317</v>
      </c>
      <c r="C16" s="276">
        <v>71</v>
      </c>
      <c r="D16" s="288"/>
      <c r="E16" s="300">
        <v>63</v>
      </c>
      <c r="F16" s="221">
        <f t="shared" si="0"/>
        <v>134</v>
      </c>
      <c r="G16" s="289"/>
      <c r="H16" s="300">
        <v>63</v>
      </c>
      <c r="I16" s="221">
        <f t="shared" si="1"/>
        <v>197</v>
      </c>
      <c r="J16" s="301" t="s">
        <v>342</v>
      </c>
      <c r="K16" s="300">
        <v>55</v>
      </c>
      <c r="L16" s="311">
        <f t="shared" si="2"/>
        <v>252</v>
      </c>
      <c r="M16" s="307">
        <v>13</v>
      </c>
    </row>
    <row r="17" spans="1:13">
      <c r="A17" s="263" t="s">
        <v>344</v>
      </c>
      <c r="B17" s="280" t="s">
        <v>319</v>
      </c>
      <c r="C17" s="276">
        <v>79</v>
      </c>
      <c r="D17" s="287" t="s">
        <v>343</v>
      </c>
      <c r="E17" s="300">
        <v>80</v>
      </c>
      <c r="F17" s="221">
        <f t="shared" si="0"/>
        <v>159</v>
      </c>
      <c r="G17" s="301" t="s">
        <v>343</v>
      </c>
      <c r="H17" s="300">
        <v>38</v>
      </c>
      <c r="I17" s="221">
        <f t="shared" si="1"/>
        <v>197</v>
      </c>
      <c r="J17" s="301" t="s">
        <v>342</v>
      </c>
      <c r="K17" s="300">
        <v>54</v>
      </c>
      <c r="L17" s="311">
        <f t="shared" si="2"/>
        <v>251</v>
      </c>
      <c r="M17" s="307">
        <v>14</v>
      </c>
    </row>
    <row r="18" spans="1:13" ht="13.5" thickBot="1">
      <c r="A18" s="264" t="s">
        <v>341</v>
      </c>
      <c r="B18" s="281">
        <v>11</v>
      </c>
      <c r="C18" s="277">
        <v>59</v>
      </c>
      <c r="D18" s="290"/>
      <c r="E18" s="302">
        <v>92</v>
      </c>
      <c r="F18" s="261">
        <f t="shared" si="0"/>
        <v>151</v>
      </c>
      <c r="G18" s="296">
        <v>11</v>
      </c>
      <c r="H18" s="302">
        <v>44</v>
      </c>
      <c r="I18" s="261">
        <f t="shared" si="1"/>
        <v>195</v>
      </c>
      <c r="J18" s="296" t="s">
        <v>340</v>
      </c>
      <c r="K18" s="302">
        <v>55</v>
      </c>
      <c r="L18" s="312">
        <f t="shared" si="2"/>
        <v>250</v>
      </c>
      <c r="M18" s="309">
        <v>15</v>
      </c>
    </row>
    <row r="19" spans="1:13" ht="13.5" thickBot="1">
      <c r="A19" s="405"/>
      <c r="B19" s="406"/>
      <c r="C19" s="406"/>
      <c r="D19" s="406"/>
      <c r="E19" s="406"/>
      <c r="F19" s="406"/>
      <c r="G19" s="406"/>
      <c r="H19" s="406"/>
      <c r="I19" s="406"/>
      <c r="J19" s="406"/>
      <c r="K19" s="406"/>
      <c r="L19" s="406"/>
      <c r="M19" s="407"/>
    </row>
    <row r="20" spans="1:13">
      <c r="A20" s="267" t="s">
        <v>220</v>
      </c>
      <c r="B20" s="284" t="s">
        <v>319</v>
      </c>
      <c r="C20" s="282">
        <v>72</v>
      </c>
      <c r="D20" s="291" t="s">
        <v>339</v>
      </c>
      <c r="E20" s="303">
        <v>97</v>
      </c>
      <c r="F20" s="265">
        <f t="shared" ref="F20:F34" si="3">SUM(C20,E20)</f>
        <v>169</v>
      </c>
      <c r="G20" s="266">
        <v>1</v>
      </c>
      <c r="H20" s="303">
        <v>50</v>
      </c>
      <c r="I20" s="265">
        <f t="shared" ref="I20:I34" si="4">SUM(F20,H20)</f>
        <v>219</v>
      </c>
      <c r="J20" s="266">
        <v>2</v>
      </c>
      <c r="K20" s="303">
        <v>70</v>
      </c>
      <c r="L20" s="314">
        <f t="shared" ref="L20:L34" si="5">SUM(I20,K20)</f>
        <v>289</v>
      </c>
      <c r="M20" s="313">
        <v>1</v>
      </c>
    </row>
    <row r="21" spans="1:13">
      <c r="A21" s="263" t="s">
        <v>338</v>
      </c>
      <c r="B21" s="280" t="s">
        <v>319</v>
      </c>
      <c r="C21" s="276">
        <v>69</v>
      </c>
      <c r="D21" s="292" t="s">
        <v>327</v>
      </c>
      <c r="E21" s="300">
        <v>80</v>
      </c>
      <c r="F21" s="221">
        <f t="shared" si="3"/>
        <v>149</v>
      </c>
      <c r="G21" s="260">
        <v>10</v>
      </c>
      <c r="H21" s="300">
        <v>64</v>
      </c>
      <c r="I21" s="221">
        <f t="shared" si="4"/>
        <v>213</v>
      </c>
      <c r="J21" s="260">
        <v>4</v>
      </c>
      <c r="K21" s="300">
        <v>69</v>
      </c>
      <c r="L21" s="311">
        <f t="shared" si="5"/>
        <v>282</v>
      </c>
      <c r="M21" s="307">
        <v>2</v>
      </c>
    </row>
    <row r="22" spans="1:13">
      <c r="A22" s="263" t="s">
        <v>337</v>
      </c>
      <c r="B22" s="280" t="s">
        <v>321</v>
      </c>
      <c r="C22" s="276">
        <v>70</v>
      </c>
      <c r="D22" s="292" t="s">
        <v>336</v>
      </c>
      <c r="E22" s="300">
        <v>91</v>
      </c>
      <c r="F22" s="221">
        <f t="shared" si="3"/>
        <v>161</v>
      </c>
      <c r="G22" s="260">
        <v>3</v>
      </c>
      <c r="H22" s="300">
        <v>59</v>
      </c>
      <c r="I22" s="221">
        <f t="shared" si="4"/>
        <v>220</v>
      </c>
      <c r="J22" s="260">
        <v>1</v>
      </c>
      <c r="K22" s="300">
        <v>51</v>
      </c>
      <c r="L22" s="311">
        <f t="shared" si="5"/>
        <v>271</v>
      </c>
      <c r="M22" s="307">
        <v>3</v>
      </c>
    </row>
    <row r="23" spans="1:13">
      <c r="A23" s="263" t="s">
        <v>335</v>
      </c>
      <c r="B23" s="280" t="s">
        <v>321</v>
      </c>
      <c r="C23" s="276">
        <v>80</v>
      </c>
      <c r="D23" s="292" t="s">
        <v>331</v>
      </c>
      <c r="E23" s="300">
        <v>86</v>
      </c>
      <c r="F23" s="221">
        <f t="shared" si="3"/>
        <v>166</v>
      </c>
      <c r="G23" s="260">
        <v>2</v>
      </c>
      <c r="H23" s="300">
        <v>50</v>
      </c>
      <c r="I23" s="221">
        <f t="shared" si="4"/>
        <v>216</v>
      </c>
      <c r="J23" s="260">
        <v>3</v>
      </c>
      <c r="K23" s="300">
        <v>52</v>
      </c>
      <c r="L23" s="311">
        <f t="shared" si="5"/>
        <v>268</v>
      </c>
      <c r="M23" s="307">
        <v>4</v>
      </c>
    </row>
    <row r="24" spans="1:13">
      <c r="A24" s="263" t="s">
        <v>334</v>
      </c>
      <c r="B24" s="280">
        <v>6</v>
      </c>
      <c r="C24" s="276">
        <v>62</v>
      </c>
      <c r="D24" s="293"/>
      <c r="E24" s="300">
        <v>80</v>
      </c>
      <c r="F24" s="221">
        <f t="shared" si="3"/>
        <v>142</v>
      </c>
      <c r="G24" s="260">
        <v>11</v>
      </c>
      <c r="H24" s="300">
        <v>62</v>
      </c>
      <c r="I24" s="221">
        <f t="shared" si="4"/>
        <v>204</v>
      </c>
      <c r="J24" s="260">
        <v>6</v>
      </c>
      <c r="K24" s="300">
        <v>54</v>
      </c>
      <c r="L24" s="311">
        <f t="shared" si="5"/>
        <v>258</v>
      </c>
      <c r="M24" s="307">
        <v>5</v>
      </c>
    </row>
    <row r="25" spans="1:13">
      <c r="A25" s="263" t="s">
        <v>27</v>
      </c>
      <c r="B25" s="280" t="s">
        <v>318</v>
      </c>
      <c r="C25" s="276">
        <v>68</v>
      </c>
      <c r="D25" s="294"/>
      <c r="E25" s="300">
        <v>84</v>
      </c>
      <c r="F25" s="221">
        <f t="shared" si="3"/>
        <v>152</v>
      </c>
      <c r="G25" s="260" t="s">
        <v>323</v>
      </c>
      <c r="H25" s="300">
        <v>57</v>
      </c>
      <c r="I25" s="221">
        <f t="shared" si="4"/>
        <v>209</v>
      </c>
      <c r="J25" s="260">
        <v>5</v>
      </c>
      <c r="K25" s="300">
        <v>46</v>
      </c>
      <c r="L25" s="311">
        <f t="shared" si="5"/>
        <v>255</v>
      </c>
      <c r="M25" s="307">
        <v>6</v>
      </c>
    </row>
    <row r="26" spans="1:13">
      <c r="A26" s="263" t="s">
        <v>153</v>
      </c>
      <c r="B26" s="280" t="s">
        <v>316</v>
      </c>
      <c r="C26" s="276">
        <v>53</v>
      </c>
      <c r="D26" s="293"/>
      <c r="E26" s="300">
        <v>58</v>
      </c>
      <c r="F26" s="221">
        <f t="shared" si="3"/>
        <v>111</v>
      </c>
      <c r="G26" s="289"/>
      <c r="H26" s="300">
        <v>65</v>
      </c>
      <c r="I26" s="221">
        <f t="shared" si="4"/>
        <v>176</v>
      </c>
      <c r="J26" s="289"/>
      <c r="K26" s="300">
        <v>78</v>
      </c>
      <c r="L26" s="311">
        <f t="shared" si="5"/>
        <v>254</v>
      </c>
      <c r="M26" s="307">
        <v>7</v>
      </c>
    </row>
    <row r="27" spans="1:13">
      <c r="A27" s="263" t="s">
        <v>333</v>
      </c>
      <c r="B27" s="280">
        <v>6</v>
      </c>
      <c r="C27" s="276">
        <v>61</v>
      </c>
      <c r="D27" s="294"/>
      <c r="E27" s="300">
        <v>94</v>
      </c>
      <c r="F27" s="221">
        <f t="shared" si="3"/>
        <v>155</v>
      </c>
      <c r="G27" s="260">
        <v>4</v>
      </c>
      <c r="H27" s="300">
        <v>38</v>
      </c>
      <c r="I27" s="221">
        <f t="shared" si="4"/>
        <v>193</v>
      </c>
      <c r="J27" s="260">
        <v>9</v>
      </c>
      <c r="K27" s="300">
        <v>60</v>
      </c>
      <c r="L27" s="311">
        <f t="shared" si="5"/>
        <v>253</v>
      </c>
      <c r="M27" s="307">
        <v>8</v>
      </c>
    </row>
    <row r="28" spans="1:13">
      <c r="A28" s="263" t="s">
        <v>332</v>
      </c>
      <c r="B28" s="280">
        <v>6</v>
      </c>
      <c r="C28" s="276">
        <v>80</v>
      </c>
      <c r="D28" s="292" t="s">
        <v>331</v>
      </c>
      <c r="E28" s="300">
        <v>71</v>
      </c>
      <c r="F28" s="221">
        <f t="shared" si="3"/>
        <v>151</v>
      </c>
      <c r="G28" s="260">
        <v>7</v>
      </c>
      <c r="H28" s="300">
        <v>44</v>
      </c>
      <c r="I28" s="221">
        <f t="shared" si="4"/>
        <v>195</v>
      </c>
      <c r="J28" s="260">
        <v>8</v>
      </c>
      <c r="K28" s="300">
        <v>56</v>
      </c>
      <c r="L28" s="311">
        <f t="shared" si="5"/>
        <v>251</v>
      </c>
      <c r="M28" s="307">
        <v>9</v>
      </c>
    </row>
    <row r="29" spans="1:13">
      <c r="A29" s="263" t="s">
        <v>330</v>
      </c>
      <c r="B29" s="280" t="s">
        <v>318</v>
      </c>
      <c r="C29" s="276">
        <v>68</v>
      </c>
      <c r="D29" s="292" t="s">
        <v>329</v>
      </c>
      <c r="E29" s="300">
        <v>72</v>
      </c>
      <c r="F29" s="221">
        <f t="shared" si="3"/>
        <v>140</v>
      </c>
      <c r="G29" s="260">
        <v>13</v>
      </c>
      <c r="H29" s="300">
        <v>52</v>
      </c>
      <c r="I29" s="221">
        <f t="shared" si="4"/>
        <v>192</v>
      </c>
      <c r="J29" s="260">
        <v>10</v>
      </c>
      <c r="K29" s="300">
        <v>57</v>
      </c>
      <c r="L29" s="311">
        <f t="shared" si="5"/>
        <v>249</v>
      </c>
      <c r="M29" s="307">
        <v>10</v>
      </c>
    </row>
    <row r="30" spans="1:13">
      <c r="A30" s="263" t="s">
        <v>84</v>
      </c>
      <c r="B30" s="280" t="s">
        <v>321</v>
      </c>
      <c r="C30" s="276">
        <v>52</v>
      </c>
      <c r="D30" s="293"/>
      <c r="E30" s="300">
        <v>89</v>
      </c>
      <c r="F30" s="221">
        <f t="shared" si="3"/>
        <v>141</v>
      </c>
      <c r="G30" s="260">
        <v>12</v>
      </c>
      <c r="H30" s="300">
        <v>58</v>
      </c>
      <c r="I30" s="221">
        <f t="shared" si="4"/>
        <v>199</v>
      </c>
      <c r="J30" s="260">
        <v>7</v>
      </c>
      <c r="K30" s="300">
        <v>46</v>
      </c>
      <c r="L30" s="311">
        <f t="shared" si="5"/>
        <v>245</v>
      </c>
      <c r="M30" s="307">
        <v>11</v>
      </c>
    </row>
    <row r="31" spans="1:13">
      <c r="A31" s="268" t="s">
        <v>328</v>
      </c>
      <c r="B31" s="280">
        <v>6</v>
      </c>
      <c r="C31" s="283">
        <v>69</v>
      </c>
      <c r="D31" s="295" t="s">
        <v>327</v>
      </c>
      <c r="E31" s="304">
        <v>67</v>
      </c>
      <c r="F31" s="221">
        <f t="shared" si="3"/>
        <v>136</v>
      </c>
      <c r="G31" s="260" t="s">
        <v>325</v>
      </c>
      <c r="H31" s="300">
        <v>46</v>
      </c>
      <c r="I31" s="221">
        <f t="shared" si="4"/>
        <v>182</v>
      </c>
      <c r="J31" s="260">
        <v>14</v>
      </c>
      <c r="K31" s="300">
        <v>58</v>
      </c>
      <c r="L31" s="311">
        <f t="shared" si="5"/>
        <v>240</v>
      </c>
      <c r="M31" s="307">
        <v>12</v>
      </c>
    </row>
    <row r="32" spans="1:13">
      <c r="A32" s="268" t="s">
        <v>326</v>
      </c>
      <c r="B32" s="280" t="s">
        <v>316</v>
      </c>
      <c r="C32" s="283">
        <v>61</v>
      </c>
      <c r="D32" s="289"/>
      <c r="E32" s="304">
        <v>65</v>
      </c>
      <c r="F32" s="221">
        <f t="shared" si="3"/>
        <v>126</v>
      </c>
      <c r="G32" s="289"/>
      <c r="H32" s="300">
        <v>47</v>
      </c>
      <c r="I32" s="221">
        <f t="shared" si="4"/>
        <v>173</v>
      </c>
      <c r="J32" s="289"/>
      <c r="K32" s="300">
        <v>64</v>
      </c>
      <c r="L32" s="311">
        <f t="shared" si="5"/>
        <v>237</v>
      </c>
      <c r="M32" s="307">
        <v>13</v>
      </c>
    </row>
    <row r="33" spans="1:13">
      <c r="A33" s="268" t="s">
        <v>85</v>
      </c>
      <c r="B33" s="285" t="s">
        <v>321</v>
      </c>
      <c r="C33" s="283">
        <v>65</v>
      </c>
      <c r="D33" s="295">
        <v>14</v>
      </c>
      <c r="E33" s="304">
        <v>71</v>
      </c>
      <c r="F33" s="221">
        <f t="shared" si="3"/>
        <v>136</v>
      </c>
      <c r="G33" s="260" t="s">
        <v>325</v>
      </c>
      <c r="H33" s="300">
        <v>53</v>
      </c>
      <c r="I33" s="221">
        <f t="shared" si="4"/>
        <v>189</v>
      </c>
      <c r="J33" s="260">
        <v>12</v>
      </c>
      <c r="K33" s="300">
        <v>46</v>
      </c>
      <c r="L33" s="311">
        <f t="shared" si="5"/>
        <v>235</v>
      </c>
      <c r="M33" s="307">
        <v>14</v>
      </c>
    </row>
    <row r="34" spans="1:13" ht="13.5" thickBot="1">
      <c r="A34" s="269" t="s">
        <v>324</v>
      </c>
      <c r="B34" s="281">
        <v>6</v>
      </c>
      <c r="C34" s="277">
        <v>67</v>
      </c>
      <c r="D34" s="296">
        <v>13</v>
      </c>
      <c r="E34" s="302">
        <v>85</v>
      </c>
      <c r="F34" s="261">
        <f t="shared" si="3"/>
        <v>152</v>
      </c>
      <c r="G34" s="262" t="s">
        <v>323</v>
      </c>
      <c r="H34" s="302">
        <v>38</v>
      </c>
      <c r="I34" s="261">
        <f t="shared" si="4"/>
        <v>190</v>
      </c>
      <c r="J34" s="262">
        <v>11</v>
      </c>
      <c r="K34" s="302">
        <v>40</v>
      </c>
      <c r="L34" s="312">
        <f t="shared" si="5"/>
        <v>230</v>
      </c>
      <c r="M34" s="309">
        <v>15</v>
      </c>
    </row>
    <row r="35" spans="1:13">
      <c r="A35" s="217"/>
      <c r="B35" s="216"/>
      <c r="C35" s="216"/>
      <c r="D35" s="216"/>
    </row>
    <row r="36" spans="1:13">
      <c r="A36" s="217"/>
      <c r="B36" s="216"/>
      <c r="C36" s="216"/>
      <c r="D36" s="216"/>
      <c r="K36" s="218"/>
    </row>
    <row r="37" spans="1:13">
      <c r="A37" s="220"/>
      <c r="B37" s="216"/>
      <c r="C37" s="216"/>
      <c r="D37" s="216"/>
      <c r="K37" s="218"/>
    </row>
    <row r="38" spans="1:13">
      <c r="A38" s="217"/>
      <c r="B38" s="216"/>
      <c r="C38" s="216"/>
      <c r="D38" s="216"/>
      <c r="K38" s="218"/>
    </row>
    <row r="39" spans="1:13">
      <c r="A39" s="219"/>
      <c r="B39" s="216"/>
      <c r="C39" s="216"/>
      <c r="D39" s="216"/>
      <c r="K39" s="218"/>
    </row>
    <row r="40" spans="1:13">
      <c r="A40" s="217"/>
      <c r="B40" s="216"/>
      <c r="C40" s="216"/>
      <c r="D40" s="216"/>
      <c r="K40" s="218"/>
    </row>
    <row r="41" spans="1:13">
      <c r="A41" s="217"/>
      <c r="B41" s="216"/>
      <c r="C41" s="216"/>
      <c r="D41" s="216"/>
    </row>
    <row r="52" spans="1:4">
      <c r="A52" s="217"/>
      <c r="B52" s="216"/>
      <c r="C52" s="216"/>
      <c r="D52" s="216"/>
    </row>
    <row r="53" spans="1:4">
      <c r="A53" s="217"/>
      <c r="B53" s="216"/>
      <c r="C53" s="216"/>
      <c r="D53" s="216"/>
    </row>
    <row r="54" spans="1:4">
      <c r="A54" s="217"/>
      <c r="B54" s="216"/>
      <c r="C54" s="216"/>
      <c r="D54" s="216"/>
    </row>
    <row r="55" spans="1:4">
      <c r="A55" s="217"/>
      <c r="B55" s="216"/>
      <c r="C55" s="216"/>
      <c r="D55" s="216"/>
    </row>
    <row r="56" spans="1:4">
      <c r="A56" s="217"/>
      <c r="B56" s="216"/>
      <c r="C56" s="216"/>
      <c r="D56" s="216"/>
    </row>
    <row r="57" spans="1:4">
      <c r="A57" s="217"/>
      <c r="B57" s="216"/>
      <c r="C57" s="216"/>
      <c r="D57" s="216"/>
    </row>
    <row r="58" spans="1:4">
      <c r="A58" s="217"/>
      <c r="B58" s="216"/>
      <c r="C58" s="216"/>
      <c r="D58" s="216"/>
    </row>
  </sheetData>
  <mergeCells count="2">
    <mergeCell ref="A1:M2"/>
    <mergeCell ref="A19:M19"/>
  </mergeCells>
  <printOptions gridLines="1"/>
  <pageMargins left="0.78740157480314965" right="0.39370078740157483" top="0.39370078740157483" bottom="0.39370078740157483" header="0.51181102362204722" footer="0.51181102362204722"/>
  <pageSetup paperSize="9" orientation="landscape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I26"/>
  <sheetViews>
    <sheetView workbookViewId="0">
      <selection activeCell="CC3" sqref="CC3:CC13"/>
    </sheetView>
  </sheetViews>
  <sheetFormatPr defaultColWidth="8.42578125" defaultRowHeight="12.75"/>
  <cols>
    <col min="1" max="1" width="11.5703125" style="1" customWidth="1"/>
    <col min="2" max="2" width="19.5703125" style="1" customWidth="1"/>
    <col min="3" max="3" width="10.7109375" style="1" customWidth="1"/>
    <col min="4" max="4" width="9.7109375" style="1" customWidth="1"/>
    <col min="5" max="9" width="8.140625" style="1" customWidth="1"/>
    <col min="10" max="10" width="10" style="1" customWidth="1"/>
    <col min="11" max="11" width="8.140625" style="1" customWidth="1"/>
    <col min="12" max="12" width="17.42578125" style="1" customWidth="1"/>
    <col min="13" max="13" width="6.140625" style="1" customWidth="1"/>
    <col min="14" max="14" width="4.140625" style="1" customWidth="1"/>
    <col min="15" max="15" width="5.5703125" style="1" customWidth="1"/>
    <col min="16" max="16" width="5.85546875" style="1" customWidth="1"/>
    <col min="17" max="17" width="4.42578125" style="1" customWidth="1"/>
    <col min="18" max="18" width="5.140625" style="1" customWidth="1"/>
    <col min="19" max="19" width="5.42578125" style="1" customWidth="1"/>
    <col min="20" max="20" width="4.85546875" style="1" customWidth="1"/>
    <col min="21" max="21" width="5.140625" style="1" customWidth="1"/>
    <col min="22" max="22" width="5.42578125" style="1" customWidth="1"/>
    <col min="23" max="23" width="4.140625" style="1" customWidth="1"/>
    <col min="24" max="24" width="5.5703125" style="1" customWidth="1"/>
    <col min="25" max="25" width="9.28515625" style="1" customWidth="1"/>
    <col min="26" max="27" width="7" style="1" customWidth="1"/>
    <col min="28" max="28" width="17" style="1" customWidth="1"/>
    <col min="29" max="29" width="5" style="1" customWidth="1"/>
    <col min="30" max="30" width="4.42578125" style="1" customWidth="1"/>
    <col min="31" max="32" width="5.28515625" style="1" customWidth="1"/>
    <col min="33" max="33" width="4.85546875" style="1" customWidth="1"/>
    <col min="34" max="34" width="5.42578125" style="1" customWidth="1"/>
    <col min="35" max="35" width="5.140625" style="1" customWidth="1"/>
    <col min="36" max="36" width="5" style="1" customWidth="1"/>
    <col min="37" max="37" width="5.7109375" style="1" customWidth="1"/>
    <col min="38" max="38" width="3.85546875" style="1" customWidth="1"/>
    <col min="39" max="39" width="5.28515625" style="1" customWidth="1"/>
    <col min="40" max="40" width="6.28515625" style="1" customWidth="1"/>
    <col min="41" max="41" width="4.5703125" style="1" customWidth="1"/>
    <col min="42" max="42" width="5" style="1" customWidth="1"/>
    <col min="43" max="43" width="5.85546875" style="1" customWidth="1"/>
    <col min="44" max="45" width="4.85546875" style="1" customWidth="1"/>
    <col min="46" max="46" width="5.140625" style="1" customWidth="1"/>
    <col min="47" max="47" width="8.7109375" style="1" customWidth="1"/>
    <col min="48" max="49" width="6.7109375" style="1" customWidth="1"/>
    <col min="50" max="50" width="5.7109375" style="1" customWidth="1"/>
    <col min="51" max="51" width="19" style="1" customWidth="1"/>
    <col min="52" max="58" width="5.7109375" style="1" customWidth="1"/>
    <col min="59" max="59" width="5" style="1" customWidth="1"/>
    <col min="60" max="66" width="5.7109375" style="1" customWidth="1"/>
    <col min="67" max="67" width="7.140625" style="1" customWidth="1"/>
    <col min="68" max="68" width="7.28515625" style="1" customWidth="1"/>
    <col min="69" max="78" width="5.7109375" style="1" customWidth="1"/>
    <col min="79" max="79" width="5.140625" style="1" customWidth="1"/>
    <col min="80" max="82" width="5.7109375" style="1" customWidth="1"/>
    <col min="83" max="83" width="7.7109375" style="1" customWidth="1"/>
    <col min="84" max="84" width="7" style="1" customWidth="1"/>
    <col min="85" max="86" width="6.85546875" style="1" customWidth="1"/>
    <col min="87" max="87" width="17.140625" style="1" customWidth="1"/>
    <col min="88" max="16384" width="8.42578125" style="1"/>
  </cols>
  <sheetData>
    <row r="1" spans="1:87" ht="15" customHeight="1">
      <c r="B1" s="362" t="s">
        <v>368</v>
      </c>
      <c r="C1" s="363"/>
      <c r="D1" s="363"/>
      <c r="E1" s="363"/>
      <c r="F1" s="363"/>
      <c r="G1" s="363"/>
      <c r="H1" s="363"/>
      <c r="I1" s="363"/>
      <c r="J1" s="363"/>
      <c r="K1" s="363"/>
      <c r="L1" s="364" t="s">
        <v>72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5" t="s">
        <v>369</v>
      </c>
      <c r="AC1" s="365"/>
      <c r="AD1" s="365"/>
      <c r="AE1" s="365"/>
      <c r="AF1" s="365"/>
      <c r="AG1" s="365"/>
      <c r="AH1" s="365"/>
      <c r="AI1" s="365"/>
      <c r="AJ1" s="365"/>
      <c r="AK1" s="365"/>
      <c r="AL1" s="365"/>
      <c r="AM1" s="365"/>
      <c r="AN1" s="365"/>
      <c r="AO1" s="365"/>
      <c r="AP1" s="365"/>
      <c r="AQ1" s="365"/>
      <c r="AR1" s="365"/>
      <c r="AS1" s="365"/>
      <c r="AT1" s="365"/>
      <c r="AU1" s="365"/>
      <c r="AV1" s="365"/>
      <c r="AW1" s="365"/>
      <c r="AX1" s="365"/>
      <c r="AY1" s="224" t="s">
        <v>370</v>
      </c>
      <c r="AZ1" s="367" t="s">
        <v>71</v>
      </c>
      <c r="BA1" s="367"/>
      <c r="BB1" s="367"/>
      <c r="BC1" s="367"/>
      <c r="BD1" s="367"/>
      <c r="BE1" s="368"/>
      <c r="BF1" s="369" t="s">
        <v>70</v>
      </c>
      <c r="BG1" s="367"/>
      <c r="BH1" s="367"/>
      <c r="BI1" s="367"/>
      <c r="BJ1" s="367"/>
      <c r="BK1" s="367"/>
      <c r="BL1" s="367"/>
      <c r="BM1" s="367"/>
      <c r="BN1" s="368"/>
      <c r="BO1" s="80"/>
      <c r="BP1" s="80"/>
      <c r="BQ1" s="80"/>
      <c r="BR1" s="154"/>
      <c r="BS1" s="366" t="s">
        <v>371</v>
      </c>
      <c r="BT1" s="366"/>
      <c r="BU1" s="366"/>
      <c r="BV1" s="366"/>
      <c r="BW1" s="366"/>
      <c r="BX1" s="366"/>
      <c r="BY1" s="366"/>
      <c r="BZ1" s="366"/>
      <c r="CA1" s="366"/>
      <c r="CB1" s="366"/>
      <c r="CC1" s="366"/>
      <c r="CD1" s="366"/>
      <c r="CE1" s="366"/>
      <c r="CF1" s="366"/>
      <c r="CG1" s="366"/>
      <c r="CH1" s="366"/>
      <c r="CI1" s="366"/>
    </row>
    <row r="2" spans="1:87">
      <c r="A2" s="3" t="s">
        <v>68</v>
      </c>
      <c r="B2" s="32" t="s">
        <v>34</v>
      </c>
      <c r="C2" s="89" t="s">
        <v>67</v>
      </c>
      <c r="D2" s="89" t="s">
        <v>66</v>
      </c>
      <c r="E2" s="89" t="s">
        <v>65</v>
      </c>
      <c r="F2" s="89" t="s">
        <v>64</v>
      </c>
      <c r="G2" s="89" t="s">
        <v>63</v>
      </c>
      <c r="H2" s="89" t="s">
        <v>62</v>
      </c>
      <c r="I2" s="89" t="s">
        <v>61</v>
      </c>
      <c r="J2" s="89" t="s">
        <v>60</v>
      </c>
      <c r="K2" s="89" t="s">
        <v>59</v>
      </c>
      <c r="L2" s="45" t="s">
        <v>34</v>
      </c>
      <c r="M2" s="88" t="s">
        <v>58</v>
      </c>
      <c r="N2" s="88"/>
      <c r="O2" s="88"/>
      <c r="P2" s="88" t="s">
        <v>57</v>
      </c>
      <c r="Q2" s="88"/>
      <c r="R2" s="88"/>
      <c r="S2" s="88" t="s">
        <v>56</v>
      </c>
      <c r="T2" s="88"/>
      <c r="U2" s="88"/>
      <c r="V2" s="88" t="s">
        <v>55</v>
      </c>
      <c r="W2" s="88"/>
      <c r="X2" s="88"/>
      <c r="Y2" s="45" t="s">
        <v>54</v>
      </c>
      <c r="Z2" s="87" t="s">
        <v>36</v>
      </c>
      <c r="AA2" s="32"/>
      <c r="AB2" s="32" t="s">
        <v>34</v>
      </c>
      <c r="AC2" s="86" t="s">
        <v>53</v>
      </c>
      <c r="AD2" s="85"/>
      <c r="AE2" s="84"/>
      <c r="AF2" s="83" t="s">
        <v>52</v>
      </c>
      <c r="AG2" s="82"/>
      <c r="AH2" s="82"/>
      <c r="AI2" s="82" t="s">
        <v>51</v>
      </c>
      <c r="AJ2" s="82"/>
      <c r="AK2" s="82"/>
      <c r="AL2" s="82" t="s">
        <v>50</v>
      </c>
      <c r="AM2" s="82"/>
      <c r="AN2" s="82"/>
      <c r="AO2" s="82" t="s">
        <v>49</v>
      </c>
      <c r="AP2" s="82"/>
      <c r="AQ2" s="82"/>
      <c r="AR2" s="82" t="s">
        <v>48</v>
      </c>
      <c r="AS2" s="82"/>
      <c r="AT2" s="82"/>
      <c r="AU2" s="32" t="s">
        <v>35</v>
      </c>
      <c r="AV2" s="32" t="s">
        <v>36</v>
      </c>
      <c r="AW2" s="32" t="s">
        <v>47</v>
      </c>
      <c r="AX2" s="81"/>
      <c r="AY2" s="81" t="s">
        <v>34</v>
      </c>
      <c r="AZ2" s="79" t="s">
        <v>46</v>
      </c>
      <c r="BA2" s="74"/>
      <c r="BB2" s="80"/>
      <c r="BC2" s="79" t="s">
        <v>45</v>
      </c>
      <c r="BD2" s="74"/>
      <c r="BE2" s="78"/>
      <c r="BF2" s="73" t="s">
        <v>44</v>
      </c>
      <c r="BG2" s="69"/>
      <c r="BH2" s="71"/>
      <c r="BI2" s="77" t="s">
        <v>43</v>
      </c>
      <c r="BJ2" s="76"/>
      <c r="BK2" s="75"/>
      <c r="BL2" s="73" t="s">
        <v>42</v>
      </c>
      <c r="BM2" s="69"/>
      <c r="BN2" s="69"/>
      <c r="BO2" s="68" t="s">
        <v>35</v>
      </c>
      <c r="BP2" s="68" t="s">
        <v>36</v>
      </c>
      <c r="BQ2" s="68" t="s">
        <v>41</v>
      </c>
      <c r="BR2" s="68"/>
      <c r="BS2" s="69" t="s">
        <v>40</v>
      </c>
      <c r="BT2" s="69"/>
      <c r="BU2" s="69"/>
      <c r="BV2" s="72" t="s">
        <v>39</v>
      </c>
      <c r="BW2" s="74"/>
      <c r="BX2" s="73"/>
      <c r="BY2" s="72" t="s">
        <v>38</v>
      </c>
      <c r="BZ2" s="71"/>
      <c r="CA2" s="70"/>
      <c r="CB2" s="69" t="s">
        <v>37</v>
      </c>
      <c r="CC2" s="69"/>
      <c r="CD2" s="69"/>
      <c r="CE2" s="68" t="s">
        <v>35</v>
      </c>
      <c r="CF2" s="68" t="s">
        <v>36</v>
      </c>
      <c r="CG2" s="68" t="s">
        <v>35</v>
      </c>
      <c r="CH2" s="68"/>
      <c r="CI2" s="68" t="s">
        <v>34</v>
      </c>
    </row>
    <row r="3" spans="1:87">
      <c r="A3" s="3"/>
      <c r="B3" s="32" t="s">
        <v>33</v>
      </c>
      <c r="C3" s="67">
        <v>35745</v>
      </c>
      <c r="D3" s="47" t="s">
        <v>19</v>
      </c>
      <c r="E3" s="32">
        <v>141</v>
      </c>
      <c r="F3" s="32">
        <v>35</v>
      </c>
      <c r="G3" s="32">
        <v>65</v>
      </c>
      <c r="H3" s="3">
        <v>1.139</v>
      </c>
      <c r="I3" s="44">
        <f>F3/(E3/100)^2</f>
        <v>17.604748252099998</v>
      </c>
      <c r="J3" s="43" t="s">
        <v>26</v>
      </c>
      <c r="K3" s="32">
        <f>((E3-F3)*E3)/(H3*2*G3)</f>
        <v>100.93874518808673</v>
      </c>
      <c r="L3" s="32" t="s">
        <v>33</v>
      </c>
      <c r="M3" s="32">
        <v>174</v>
      </c>
      <c r="N3" s="40">
        <v>20</v>
      </c>
      <c r="O3" s="30">
        <f>IF(M3=0,"",IF(M3&lt;150,2,IF(AND(M3&gt;=150,M3&lt;155),3,IF(AND(M3&gt;=155,M3&lt;160),4,IF(AND(M3&gt;=160),5)))))</f>
        <v>5</v>
      </c>
      <c r="P3" s="32">
        <v>4.8</v>
      </c>
      <c r="Q3" s="40">
        <v>20</v>
      </c>
      <c r="R3" s="30">
        <f>IF(P3=0,"",IF(P3&gt;6.2,2,IF(AND(P3&lt;=6.2,P3&gt;5.9),3,IF(AND(P3&lt;=5.9,P3&gt;5.6),4,IF(AND(P3&lt;=5.6),5)))))</f>
        <v>5</v>
      </c>
      <c r="S3" s="32">
        <v>10.199999999999999</v>
      </c>
      <c r="T3" s="40">
        <v>20</v>
      </c>
      <c r="U3" s="30">
        <f>IF(S3=0,"",IF(S3&gt;11.4,2,IF(AND(S3&lt;=11.4,S3&gt;11.2),3,IF(AND(S3&lt;=11.2,S3&gt;11),4,IF(AND(S3&lt;=11),5)))))</f>
        <v>5</v>
      </c>
      <c r="V3" s="32">
        <v>1455</v>
      </c>
      <c r="W3" s="40">
        <v>20</v>
      </c>
      <c r="X3" s="30">
        <f>IF(V3=0,"",IF(V3&lt;960,2,IF(AND(V3&gt;=960,V3&lt;1100),3,IF(AND(V3&gt;=1100,V3&lt;1230),4,IF(AND(V3&gt;=1230),5)))))</f>
        <v>5</v>
      </c>
      <c r="Y3" s="40">
        <f>SUM(N3,Q3,T3,W3)</f>
        <v>80</v>
      </c>
      <c r="Z3" s="30">
        <f>IF(Y3=0,"",IF(Y3&lt;4,2,IF(AND(Y3&gt;=4,Y3&lt;16),3,IF(AND(Y3&gt;=16,Y3&lt;30),4,IF(AND(Y3&gt;=30),5)))))</f>
        <v>5</v>
      </c>
      <c r="AA3" s="223">
        <v>5</v>
      </c>
      <c r="AB3" s="32" t="s">
        <v>33</v>
      </c>
      <c r="AC3" s="45">
        <v>42</v>
      </c>
      <c r="AD3" s="66">
        <v>17</v>
      </c>
      <c r="AE3" s="30">
        <f>IF(AC3=0,"",IF(AC3&lt;26,2,IF(AND(AC3&gt;=26,AC3&lt;32),3,IF(AND(AC3&gt;=32,AC3&lt;38),4,IF(AND(AC3&gt;=38),5)))))</f>
        <v>5</v>
      </c>
      <c r="AF3" s="32">
        <v>4</v>
      </c>
      <c r="AG3" s="40">
        <v>1</v>
      </c>
      <c r="AH3" s="30">
        <f>IF(AF3=0,"",IF(AF3&lt;4,2,IF(AND(AF3&gt;=4,AF3&lt;6),3,IF(AND(AF3&gt;=6,AF3&lt;9),4,IF(AND(AF3&gt;=9),5)))))</f>
        <v>3</v>
      </c>
      <c r="AI3" s="32">
        <v>130</v>
      </c>
      <c r="AJ3" s="40">
        <v>20</v>
      </c>
      <c r="AK3" s="30">
        <f>IF(AI3=0,"",IF(AI3&lt;55,2,IF(AND(AI3&gt;=55,AI3&lt;60),3,IF(AND(AI3&gt;=60,AI3&lt;70),4,IF(AND(AI3&gt;=70),5)))))</f>
        <v>5</v>
      </c>
      <c r="AL3" s="32">
        <v>3</v>
      </c>
      <c r="AM3" s="40">
        <v>1</v>
      </c>
      <c r="AN3" s="30">
        <f>IF(AL3=0,"",IF(AL3&lt;3,2,IF(AND(AL3&gt;=3,AL3&lt;4),3,IF(AND(AL3&gt;=4,AL3&lt;6),4,IF(AND(AL3&gt;=6),5)))))</f>
        <v>3</v>
      </c>
      <c r="AO3" s="32">
        <v>17</v>
      </c>
      <c r="AP3" s="40">
        <v>17</v>
      </c>
      <c r="AQ3" s="30">
        <f>IF(AO3=0,"",IF(AO3&lt;1,2,IF(AND(AO3&gt;=1,AO3&lt;5),3,IF(AND(AO3&gt;=5,AO3&lt;10),4,IF(AND(AO3&gt;=10),5)))))</f>
        <v>5</v>
      </c>
      <c r="AR3" s="32">
        <v>10</v>
      </c>
      <c r="AS3" s="40">
        <v>10</v>
      </c>
      <c r="AT3" s="30">
        <f>IF(AR3=0,"",IF(AR3&lt;1,2,IF(AND(AR3&gt;=1,AR3&lt;5),3,IF(AND(AR3&gt;=5,AR3&lt;10),4,IF(AND(AR3&gt;=10),5)))))</f>
        <v>5</v>
      </c>
      <c r="AU3" s="40">
        <f>SUM(AD3,AG3,AJ3,AM3,AP3,AS3)</f>
        <v>66</v>
      </c>
      <c r="AV3" s="30">
        <f>IF(AU3=0,"",IF(AU3&lt;6,2,IF(AND(AU3&gt;=6,AU3&lt;20),3,IF(AND(AU3&gt;=20,AU3&lt;46),4,IF(AND(AU3&gt;=46),5)))))</f>
        <v>5</v>
      </c>
      <c r="AW3" s="40">
        <f>SUM(Y3,AU3)</f>
        <v>146</v>
      </c>
      <c r="AX3" s="41"/>
      <c r="AY3" s="32" t="s">
        <v>33</v>
      </c>
      <c r="AZ3" s="65">
        <v>8.1199999999999992</v>
      </c>
      <c r="BA3" s="343">
        <v>0</v>
      </c>
      <c r="BB3" s="30">
        <f>IF(AZ3=0,"",IF(AZ3&gt;7.4,2,IF(AND(AZ3&lt;=7.4,AZ3&gt;7),3,IF(AND(AZ3&lt;=7,AZ3&gt;6.3),4,IF(AND(AZ3&lt;=6.3),5)))))</f>
        <v>2</v>
      </c>
      <c r="BC3" s="65">
        <v>20.21</v>
      </c>
      <c r="BD3" s="343">
        <v>0</v>
      </c>
      <c r="BE3" s="30">
        <f>IF(BC3=0,"",IF(BC3&gt;16,2,IF(AND(BC3&lt;=16,BC3&gt;15),3,IF(AND(BC3&lt;=15,BC3&gt;14),4,IF(AND(BC3&lt;=14),5)))))</f>
        <v>2</v>
      </c>
      <c r="BF3" s="31">
        <v>20</v>
      </c>
      <c r="BG3" s="344">
        <v>20</v>
      </c>
      <c r="BH3" s="30">
        <f>IF(BF3=0,"",IF(BF3&lt;6,2,IF(AND(BF3&gt;=6,BF3&lt;8),3,IF(AND(BF3&gt;=8,BF3&lt;10),4,IF(AND(BF3&gt;=10),5)))))</f>
        <v>5</v>
      </c>
      <c r="BI3" s="65">
        <v>12.5</v>
      </c>
      <c r="BJ3" s="343">
        <v>20</v>
      </c>
      <c r="BK3" s="30">
        <f>IF(BI3=0,"",IF(BI3&gt;16.2,2,IF(AND(BI3&lt;=16.2,BI3&gt;15),3,IF(AND(BI3&lt;=15,BI3&gt;14),4,IF(AND(BI3&lt;=14),5)))))</f>
        <v>5</v>
      </c>
      <c r="BL3" s="31">
        <v>9</v>
      </c>
      <c r="BM3" s="344">
        <v>19</v>
      </c>
      <c r="BN3" s="30">
        <f>IF(BL3=0,"",IF(BL3&lt;2,2,IF(AND(BL3&gt;=2,BL3&lt;3),3,IF(AND(BL3&gt;=3,BL3&lt;4),4,IF(AND(BL3&gt;=4),5)))))</f>
        <v>5</v>
      </c>
      <c r="BO3" s="40">
        <f>SUM(BA3,BD3,BG3,BJ3,BM3)</f>
        <v>59</v>
      </c>
      <c r="BP3" s="59">
        <f>IF(BO3=0,"",IF(BO3&lt;5,2,IF(AND(BO3&gt;=5,BO3&lt;17),3,IF(AND(BO3&gt;=17,BO3&lt;40),4,IF(AND(BO3&gt;=40),5)))))</f>
        <v>5</v>
      </c>
      <c r="BQ3" s="40">
        <f>SUM(AW3,BO3)</f>
        <v>205</v>
      </c>
      <c r="BR3" s="41"/>
      <c r="BS3" s="31">
        <v>9</v>
      </c>
      <c r="BT3" s="344">
        <v>20</v>
      </c>
      <c r="BU3" s="30">
        <f>IF(BS3=0,"",IF(BS3&gt;11.2,2,IF(AND(BS3&lt;=11.2,BS3&gt;10.6),3,IF(AND(BS3&lt;=10.6,BS3&gt;10),4,IF(AND(BS3&lt;=10),5)))))</f>
        <v>5</v>
      </c>
      <c r="BV3" s="31">
        <v>7.12</v>
      </c>
      <c r="BW3" s="343">
        <v>15</v>
      </c>
      <c r="BX3" s="30">
        <f>IF(BV3=0,"",IF(BV3&gt;9.1,2,IF(AND(BV3&lt;=9.1,BV3&gt;8.4),3,IF(AND(BV3&lt;=8.4,BV3&gt;8),4,IF(AND(BV3&lt;=8),5)))))</f>
        <v>5</v>
      </c>
      <c r="BY3" s="31">
        <v>31</v>
      </c>
      <c r="BZ3" s="344">
        <v>11</v>
      </c>
      <c r="CA3" s="30">
        <f>IF(BY3=0,"",IF(BY3&lt;20,2,IF(AND(BY3&gt;=20,BY3&lt;25),3,IF(AND(BY3&gt;=25,BY3&lt;30),4,IF(AND(BY3&gt;=30),5)))))</f>
        <v>5</v>
      </c>
      <c r="CB3" s="31">
        <v>50</v>
      </c>
      <c r="CC3" s="344">
        <v>20</v>
      </c>
      <c r="CD3" s="30">
        <f>IF(CB3=0,"",IF(CB3&lt;1,2,IF(AND(CB3&gt;=1,CB3&lt;3),3,IF(AND(CB3&gt;=3,CB3&lt;5),4,IF(AND(CB3&gt;=5),5)))))</f>
        <v>5</v>
      </c>
      <c r="CE3" s="40">
        <f>SUM(BT3,BW3,BZ3,CC3)</f>
        <v>66</v>
      </c>
      <c r="CF3" s="30">
        <f>IF(CE3=0,"",IF(CE3&lt;4,2,IF(AND(CE3&gt;=4,CE3&lt;16),3,IF(AND(CE3&gt;=16,CE3&lt;30),4,IF(AND(CE3&gt;=30),5)))))</f>
        <v>5</v>
      </c>
      <c r="CG3" s="40">
        <f>SUM(BQ3,CE3)</f>
        <v>271</v>
      </c>
      <c r="CH3" s="223">
        <v>5</v>
      </c>
      <c r="CI3" s="32" t="s">
        <v>33</v>
      </c>
    </row>
    <row r="4" spans="1:87">
      <c r="A4" s="3"/>
      <c r="B4" s="32" t="s">
        <v>32</v>
      </c>
      <c r="C4" s="48">
        <v>35845</v>
      </c>
      <c r="D4" s="47" t="s">
        <v>19</v>
      </c>
      <c r="E4" s="32">
        <v>142</v>
      </c>
      <c r="F4" s="32">
        <v>40</v>
      </c>
      <c r="G4" s="32">
        <v>66</v>
      </c>
      <c r="H4" s="3">
        <v>1.0940000000000001</v>
      </c>
      <c r="I4" s="44">
        <f>F4/(E4/100)^2</f>
        <v>19.837333862328904</v>
      </c>
      <c r="J4" s="43" t="s">
        <v>26</v>
      </c>
      <c r="K4" s="32">
        <f>((E4-F4)*E4)/(H4*2*G4)</f>
        <v>100.29915240152899</v>
      </c>
      <c r="L4" s="32" t="s">
        <v>32</v>
      </c>
      <c r="M4" s="32">
        <v>178</v>
      </c>
      <c r="N4" s="40">
        <v>20</v>
      </c>
      <c r="O4" s="30">
        <f>IF(M4=0,"",IF(M4&lt;150,2,IF(AND(M4&gt;=150,M4&lt;155),3,IF(AND(M4&gt;=155,M4&lt;160),4,IF(AND(M4&gt;=160),5)))))</f>
        <v>5</v>
      </c>
      <c r="P4" s="32">
        <v>4.7</v>
      </c>
      <c r="Q4" s="40">
        <v>20</v>
      </c>
      <c r="R4" s="30">
        <f>IF(P4=0,"",IF(P4&gt;6.2,2,IF(AND(P4&lt;=6.2,P4&gt;5.9),3,IF(AND(P4&lt;=5.9,P4&gt;5.6),4,IF(AND(P4&lt;=5.6),5)))))</f>
        <v>5</v>
      </c>
      <c r="S4" s="32">
        <v>9.6999999999999993</v>
      </c>
      <c r="T4" s="40">
        <v>20</v>
      </c>
      <c r="U4" s="30">
        <f>IF(S4=0,"",IF(S4&gt;11.4,2,IF(AND(S4&lt;=11.4,S4&gt;11.2),3,IF(AND(S4&lt;=11.2,S4&gt;11),4,IF(AND(S4&lt;=11),5)))))</f>
        <v>5</v>
      </c>
      <c r="V4" s="32">
        <v>1365</v>
      </c>
      <c r="W4" s="40">
        <v>20</v>
      </c>
      <c r="X4" s="30">
        <f>IF(V4=0,"",IF(V4&lt;960,2,IF(AND(V4&gt;=960,V4&lt;1100),3,IF(AND(V4&gt;=1100,V4&lt;1230),4,IF(AND(V4&gt;=1230),5)))))</f>
        <v>5</v>
      </c>
      <c r="Y4" s="40">
        <f>SUM(N4,Q4,T4,W4)</f>
        <v>80</v>
      </c>
      <c r="Z4" s="30">
        <f>IF(Y4=0,"",IF(Y4&lt;4,2,IF(AND(Y4&gt;=4,Y4&lt;16),3,IF(AND(Y4&gt;=16,Y4&lt;30),4,IF(AND(Y4&gt;=30),5)))))</f>
        <v>5</v>
      </c>
      <c r="AA4" s="223">
        <v>5</v>
      </c>
      <c r="AB4" s="32" t="s">
        <v>32</v>
      </c>
      <c r="AC4" s="32">
        <v>50</v>
      </c>
      <c r="AD4" s="40">
        <v>20</v>
      </c>
      <c r="AE4" s="30">
        <f>IF(AC4=0,"",IF(AC4&lt;26,2,IF(AND(AC4&gt;=26,AC4&lt;32),3,IF(AND(AC4&gt;=32,AC4&lt;38),4,IF(AND(AC4&gt;=38),5)))))</f>
        <v>5</v>
      </c>
      <c r="AF4" s="32">
        <v>14</v>
      </c>
      <c r="AG4" s="40">
        <v>20</v>
      </c>
      <c r="AH4" s="30">
        <f>IF(AF4=0,"",IF(AF4&lt;4,2,IF(AND(AF4&gt;=4,AF4&lt;6),3,IF(AND(AF4&gt;=6,AF4&lt;9),4,IF(AND(AF4&gt;=9),5)))))</f>
        <v>5</v>
      </c>
      <c r="AI4" s="32">
        <v>104</v>
      </c>
      <c r="AJ4" s="40">
        <v>20</v>
      </c>
      <c r="AK4" s="30">
        <f>IF(AI4=0,"",IF(AI4&lt;55,2,IF(AND(AI4&gt;=55,AI4&lt;60),3,IF(AND(AI4&gt;=60,AI4&lt;70),4,IF(AND(AI4&gt;=70),5)))))</f>
        <v>5</v>
      </c>
      <c r="AL4" s="32">
        <v>6</v>
      </c>
      <c r="AM4" s="40">
        <v>10</v>
      </c>
      <c r="AN4" s="30">
        <f>IF(AL4=0,"",IF(AL4&lt;3,2,IF(AND(AL4&gt;=3,AL4&lt;4),3,IF(AND(AL4&gt;=4,AL4&lt;6),4,IF(AND(AL4&gt;=6),5)))))</f>
        <v>5</v>
      </c>
      <c r="AO4" s="32">
        <v>20</v>
      </c>
      <c r="AP4" s="40">
        <v>20</v>
      </c>
      <c r="AQ4" s="30">
        <f>IF(AO4=0,"",IF(AO4&lt;1,2,IF(AND(AO4&gt;=1,AO4&lt;5),3,IF(AND(AO4&gt;=5,AO4&lt;10),4,IF(AND(AO4&gt;=10),5)))))</f>
        <v>5</v>
      </c>
      <c r="AR4" s="32">
        <v>10</v>
      </c>
      <c r="AS4" s="40">
        <v>10</v>
      </c>
      <c r="AT4" s="30">
        <f>IF(AR4=0,"",IF(AR4&lt;1,2,IF(AND(AR4&gt;=1,AR4&lt;5),3,IF(AND(AR4&gt;=5,AR4&lt;10),4,IF(AND(AR4&gt;=10),5)))))</f>
        <v>5</v>
      </c>
      <c r="AU4" s="40">
        <f>SUM(AD4,AG4,AJ4,AM4,AP4,AS4)</f>
        <v>100</v>
      </c>
      <c r="AV4" s="30">
        <f>IF(AU4=0,"",IF(AU4&lt;6,2,IF(AND(AU4&gt;=6,AU4&lt;20),3,IF(AND(AU4&gt;=20,AU4&lt;46),4,IF(AND(AU4&gt;=46),5)))))</f>
        <v>5</v>
      </c>
      <c r="AW4" s="40">
        <f>SUM(Y4,AU4)</f>
        <v>180</v>
      </c>
      <c r="AX4" s="223">
        <v>5</v>
      </c>
      <c r="AY4" s="32" t="s">
        <v>32</v>
      </c>
      <c r="AZ4" s="31">
        <v>13.21</v>
      </c>
      <c r="BA4" s="344">
        <v>0</v>
      </c>
      <c r="BB4" s="30">
        <f>IF(AZ4=0,"",IF(AZ4&gt;7.4,2,IF(AND(AZ4&lt;=7.4,AZ4&gt;7),3,IF(AND(AZ4&lt;=7,AZ4&gt;6.3),4,IF(AND(AZ4&lt;=6.3),5)))))</f>
        <v>2</v>
      </c>
      <c r="BC4" s="31">
        <v>30.27</v>
      </c>
      <c r="BD4" s="344">
        <v>0</v>
      </c>
      <c r="BE4" s="30">
        <f>IF(BC4=0,"",IF(BC4&gt;16,2,IF(AND(BC4&lt;=16,BC4&gt;15),3,IF(AND(BC4&lt;=15,BC4&gt;14),4,IF(AND(BC4&lt;=14),5)))))</f>
        <v>2</v>
      </c>
      <c r="BF4" s="31">
        <v>20</v>
      </c>
      <c r="BG4" s="344">
        <v>20</v>
      </c>
      <c r="BH4" s="30">
        <f>IF(BF4=0,"",IF(BF4&lt;6,2,IF(AND(BF4&gt;=6,BF4&lt;8),3,IF(AND(BF4&gt;=8,BF4&lt;10),4,IF(AND(BF4&gt;=10),5)))))</f>
        <v>5</v>
      </c>
      <c r="BI4" s="31"/>
      <c r="BJ4" s="344"/>
      <c r="BK4" s="30" t="str">
        <f>IF(BI4=0,"",IF(BI4&gt;16.2,2,IF(AND(BI4&lt;=16.2,BI4&gt;15),3,IF(AND(BI4&lt;=15,BI4&gt;14),4,IF(AND(BI4&lt;=14),5)))))</f>
        <v/>
      </c>
      <c r="BL4" s="31"/>
      <c r="BM4" s="344"/>
      <c r="BN4" s="30" t="str">
        <f>IF(BL4=0,"",IF(BL4&lt;2,2,IF(AND(BL4&gt;=2,BL4&lt;3),3,IF(AND(BL4&gt;=3,BL4&lt;4),4,IF(AND(BL4&gt;=4),5)))))</f>
        <v/>
      </c>
      <c r="BO4" s="40">
        <f>SUM(BA4,BD4,BG4,BJ4,BM4)</f>
        <v>20</v>
      </c>
      <c r="BP4" s="30">
        <f>IF(BO4=0,"",IF(BO4&lt;5,2,IF(AND(BO4&gt;=5,BO4&lt;17),3,IF(AND(BO4&gt;=17,BO4&lt;40),4,IF(AND(BO4&gt;=40),5)))))</f>
        <v>4</v>
      </c>
      <c r="BQ4" s="40">
        <f>SUM(AW4,BO4)</f>
        <v>200</v>
      </c>
      <c r="BR4" s="41"/>
      <c r="BS4" s="31">
        <v>9.1999999999999993</v>
      </c>
      <c r="BT4" s="344">
        <v>20</v>
      </c>
      <c r="BU4" s="30">
        <f>IF(BS4=0,"",IF(BS4&gt;11.2,2,IF(AND(BS4&lt;=11.2,BS4&gt;10.6),3,IF(AND(BS4&lt;=10.6,BS4&gt;10),4,IF(AND(BS4&lt;=10),5)))))</f>
        <v>5</v>
      </c>
      <c r="BV4" s="31">
        <v>8.11</v>
      </c>
      <c r="BW4" s="344">
        <v>8</v>
      </c>
      <c r="BX4" s="30">
        <f>IF(BV4=0,"",IF(BV4&gt;9.1,2,IF(AND(BV4&lt;=9.1,BV4&gt;8.4),3,IF(AND(BV4&lt;=8.4,BV4&gt;8),4,IF(AND(BV4&lt;=8),5)))))</f>
        <v>4</v>
      </c>
      <c r="BY4" s="31">
        <v>38</v>
      </c>
      <c r="BZ4" s="344">
        <v>18</v>
      </c>
      <c r="CA4" s="30">
        <f>IF(BY4=0,"",IF(BY4&lt;20,2,IF(AND(BY4&gt;=20,BY4&lt;25),3,IF(AND(BY4&gt;=25,BY4&lt;30),4,IF(AND(BY4&gt;=30),5)))))</f>
        <v>5</v>
      </c>
      <c r="CB4" s="31">
        <v>51</v>
      </c>
      <c r="CC4" s="344">
        <v>20</v>
      </c>
      <c r="CD4" s="30">
        <f>IF(CB4=0,"",IF(CB4&lt;1,2,IF(AND(CB4&gt;=1,CB4&lt;3),3,IF(AND(CB4&gt;=3,CB4&lt;5),4,IF(AND(CB4&gt;=5),5)))))</f>
        <v>5</v>
      </c>
      <c r="CE4" s="40">
        <f>SUM(BT4,BW4,BZ4,CC4)</f>
        <v>66</v>
      </c>
      <c r="CF4" s="30">
        <f>IF(CE4=0,"",IF(CE4&lt;4,2,IF(AND(CE4&gt;=4,CE4&lt;16),3,IF(AND(CE4&gt;=16,CE4&lt;30),4,IF(AND(CE4&gt;=30),5)))))</f>
        <v>5</v>
      </c>
      <c r="CG4" s="40">
        <f>SUM(BQ4,CE4)</f>
        <v>266</v>
      </c>
      <c r="CH4" s="41"/>
      <c r="CI4" s="32" t="s">
        <v>32</v>
      </c>
    </row>
    <row r="5" spans="1:87">
      <c r="A5" s="3"/>
      <c r="B5" s="32" t="s">
        <v>31</v>
      </c>
      <c r="C5" s="48">
        <v>35674</v>
      </c>
      <c r="D5" s="47" t="s">
        <v>19</v>
      </c>
      <c r="E5" s="32">
        <v>141</v>
      </c>
      <c r="F5" s="32">
        <v>33</v>
      </c>
      <c r="G5" s="32">
        <v>63</v>
      </c>
      <c r="H5" s="3">
        <v>1.139</v>
      </c>
      <c r="I5" s="44">
        <f>F5/(E5/100)^2</f>
        <v>16.598762637694282</v>
      </c>
      <c r="J5" s="43" t="s">
        <v>30</v>
      </c>
      <c r="K5" s="32">
        <f>((E5-F5)*E5)/(H5*2*G5)</f>
        <v>106.10811488774614</v>
      </c>
      <c r="L5" s="32" t="s">
        <v>31</v>
      </c>
      <c r="M5" s="32">
        <v>156</v>
      </c>
      <c r="N5" s="40">
        <v>6</v>
      </c>
      <c r="O5" s="30">
        <f>IF(M5=0,"",IF(M5&lt;150,2,IF(AND(M5&gt;=150,M5&lt;155),3,IF(AND(M5&gt;=155,M5&lt;160),4,IF(AND(M5&gt;=160),5)))))</f>
        <v>4</v>
      </c>
      <c r="P5" s="32">
        <v>5.3</v>
      </c>
      <c r="Q5" s="40">
        <v>16</v>
      </c>
      <c r="R5" s="30">
        <f>IF(P5=0,"",IF(P5&gt;6.2,2,IF(AND(P5&lt;=6.2,P5&gt;5.9),3,IF(AND(P5&lt;=5.9,P5&gt;5.6),4,IF(AND(P5&lt;=5.6),5)))))</f>
        <v>5</v>
      </c>
      <c r="S5" s="32">
        <v>10.4</v>
      </c>
      <c r="T5" s="40">
        <v>20</v>
      </c>
      <c r="U5" s="30">
        <f>IF(S5=0,"",IF(S5&gt;11.4,2,IF(AND(S5&lt;=11.4,S5&gt;11.2),3,IF(AND(S5&lt;=11.2,S5&gt;11),4,IF(AND(S5&lt;=11),5)))))</f>
        <v>5</v>
      </c>
      <c r="V5" s="32">
        <v>1560</v>
      </c>
      <c r="W5" s="40">
        <v>20</v>
      </c>
      <c r="X5" s="30">
        <f>IF(V5=0,"",IF(V5&lt;960,2,IF(AND(V5&gt;=960,V5&lt;1100),3,IF(AND(V5&gt;=1100,V5&lt;1230),4,IF(AND(V5&gt;=1230),5)))))</f>
        <v>5</v>
      </c>
      <c r="Y5" s="40">
        <f>SUM(N5,Q5,T5,W5)</f>
        <v>62</v>
      </c>
      <c r="Z5" s="30">
        <f>IF(Y5=0,"",IF(Y5&lt;4,2,IF(AND(Y5&gt;=4,Y5&lt;16),3,IF(AND(Y5&gt;=16,Y5&lt;30),4,IF(AND(Y5&gt;=30),5)))))</f>
        <v>5</v>
      </c>
      <c r="AA5" s="41"/>
      <c r="AB5" s="32" t="s">
        <v>31</v>
      </c>
      <c r="AC5" s="32">
        <v>51</v>
      </c>
      <c r="AD5" s="40">
        <v>20</v>
      </c>
      <c r="AE5" s="30">
        <f>IF(AC5=0,"",IF(AC5&lt;26,2,IF(AND(AC5&gt;=26,AC5&lt;32),3,IF(AND(AC5&gt;=32,AC5&lt;38),4,IF(AND(AC5&gt;=38),5)))))</f>
        <v>5</v>
      </c>
      <c r="AF5" s="32">
        <v>4</v>
      </c>
      <c r="AG5" s="40">
        <v>1</v>
      </c>
      <c r="AH5" s="30">
        <f>IF(AF5=0,"",IF(AF5&lt;4,2,IF(AND(AF5&gt;=4,AF5&lt;6),3,IF(AND(AF5&gt;=6,AF5&lt;9),4,IF(AND(AF5&gt;=9),5)))))</f>
        <v>3</v>
      </c>
      <c r="AI5" s="32">
        <v>70</v>
      </c>
      <c r="AJ5" s="40">
        <v>10</v>
      </c>
      <c r="AK5" s="30">
        <f>IF(AI5=0,"",IF(AI5&lt;55,2,IF(AND(AI5&gt;=55,AI5&lt;60),3,IF(AND(AI5&gt;=60,AI5&lt;70),4,IF(AND(AI5&gt;=70),5)))))</f>
        <v>5</v>
      </c>
      <c r="AL5" s="32">
        <v>3</v>
      </c>
      <c r="AM5" s="40">
        <v>1</v>
      </c>
      <c r="AN5" s="30">
        <f>IF(AL5=0,"",IF(AL5&lt;3,2,IF(AND(AL5&gt;=3,AL5&lt;4),3,IF(AND(AL5&gt;=4,AL5&lt;6),4,IF(AND(AL5&gt;=6),5)))))</f>
        <v>3</v>
      </c>
      <c r="AO5" s="32">
        <v>15</v>
      </c>
      <c r="AP5" s="40">
        <v>15</v>
      </c>
      <c r="AQ5" s="30">
        <f>IF(AO5=0,"",IF(AO5&lt;1,2,IF(AND(AO5&gt;=1,AO5&lt;5),3,IF(AND(AO5&gt;=5,AO5&lt;10),4,IF(AND(AO5&gt;=10),5)))))</f>
        <v>5</v>
      </c>
      <c r="AR5" s="32">
        <v>10</v>
      </c>
      <c r="AS5" s="40">
        <v>10</v>
      </c>
      <c r="AT5" s="30">
        <f>IF(AR5=0,"",IF(AR5&lt;1,2,IF(AND(AR5&gt;=1,AR5&lt;5),3,IF(AND(AR5&gt;=5,AR5&lt;10),4,IF(AND(AR5&gt;=10),5)))))</f>
        <v>5</v>
      </c>
      <c r="AU5" s="40">
        <f>SUM(AD5,AG5,AJ5,AM5,AP5,AS5)</f>
        <v>57</v>
      </c>
      <c r="AV5" s="30">
        <f>IF(AU5=0,"",IF(AU5&lt;6,2,IF(AND(AU5&gt;=6,AU5&lt;20),3,IF(AND(AU5&gt;=20,AU5&lt;46),4,IF(AND(AU5&gt;=46),5)))))</f>
        <v>5</v>
      </c>
      <c r="AW5" s="40">
        <f>SUM(Y5,AU5)</f>
        <v>119</v>
      </c>
      <c r="AX5" s="41"/>
      <c r="AY5" s="32" t="s">
        <v>31</v>
      </c>
      <c r="AZ5" s="31">
        <v>9.35</v>
      </c>
      <c r="BA5" s="344">
        <v>5</v>
      </c>
      <c r="BB5" s="30">
        <v>4</v>
      </c>
      <c r="BC5" s="31">
        <v>18.46</v>
      </c>
      <c r="BD5" s="344">
        <v>5</v>
      </c>
      <c r="BE5" s="30">
        <v>4</v>
      </c>
      <c r="BF5" s="31">
        <v>20</v>
      </c>
      <c r="BG5" s="344">
        <v>20</v>
      </c>
      <c r="BH5" s="30">
        <f>IF(BF5=0,"",IF(BF5&lt;6,2,IF(AND(BF5&gt;=6,BF5&lt;8),3,IF(AND(BF5&gt;=8,BF5&lt;10),4,IF(AND(BF5&gt;=10),5)))))</f>
        <v>5</v>
      </c>
      <c r="BI5" s="31">
        <v>13.700000000000001</v>
      </c>
      <c r="BJ5" s="344">
        <v>12</v>
      </c>
      <c r="BK5" s="30">
        <f>IF(BI5=0,"",IF(BI5&gt;16.2,2,IF(AND(BI5&lt;=16.2,BI5&gt;15),3,IF(AND(BI5&lt;=15,BI5&gt;14),4,IF(AND(BI5&lt;=14),5)))))</f>
        <v>5</v>
      </c>
      <c r="BL5" s="31">
        <v>9</v>
      </c>
      <c r="BM5" s="344">
        <v>19</v>
      </c>
      <c r="BN5" s="30">
        <f>IF(BL5=0,"",IF(BL5&lt;2,2,IF(AND(BL5&gt;=2,BL5&lt;3),3,IF(AND(BL5&gt;=3,BL5&lt;4),4,IF(AND(BL5&gt;=4),5)))))</f>
        <v>5</v>
      </c>
      <c r="BO5" s="40">
        <f>SUM(BA5,BD5,BG5,BJ5,BM5)</f>
        <v>61</v>
      </c>
      <c r="BP5" s="30">
        <f>IF(BO5=0,"",IF(BO5&lt;5,2,IF(AND(BO5&gt;=5,BO5&lt;17),3,IF(AND(BO5&gt;=17,BO5&lt;40),4,IF(AND(BO5&gt;=40),5)))))</f>
        <v>5</v>
      </c>
      <c r="BQ5" s="40">
        <f>SUM(AW5,BO5)</f>
        <v>180</v>
      </c>
      <c r="BR5" s="41"/>
      <c r="BS5" s="31">
        <v>9.6999999999999993</v>
      </c>
      <c r="BT5" s="344">
        <v>16</v>
      </c>
      <c r="BU5" s="30">
        <f>IF(BS5=0,"",IF(BS5&gt;11.2,2,IF(AND(BS5&lt;=11.2,BS5&gt;10.6),3,IF(AND(BS5&lt;=10.6,BS5&gt;10),4,IF(AND(BS5&lt;=10),5)))))</f>
        <v>5</v>
      </c>
      <c r="BV5" s="31">
        <v>7.29</v>
      </c>
      <c r="BW5" s="344">
        <v>14</v>
      </c>
      <c r="BX5" s="30">
        <f>IF(BV5=0,"",IF(BV5&gt;9.1,2,IF(AND(BV5&lt;=9.1,BV5&gt;8.4),3,IF(AND(BV5&lt;=8.4,BV5&gt;8),4,IF(AND(BV5&lt;=8),5)))))</f>
        <v>5</v>
      </c>
      <c r="BY5" s="31">
        <v>30</v>
      </c>
      <c r="BZ5" s="344">
        <v>10</v>
      </c>
      <c r="CA5" s="30">
        <f>IF(BY5=0,"",IF(BY5&lt;20,2,IF(AND(BY5&gt;=20,BY5&lt;25),3,IF(AND(BY5&gt;=25,BY5&lt;30),4,IF(AND(BY5&gt;=30),5)))))</f>
        <v>5</v>
      </c>
      <c r="CB5" s="31">
        <v>15</v>
      </c>
      <c r="CC5" s="344">
        <v>20</v>
      </c>
      <c r="CD5" s="30">
        <f>IF(CB5=0,"",IF(CB5&lt;1,2,IF(AND(CB5&gt;=1,CB5&lt;3),3,IF(AND(CB5&gt;=3,CB5&lt;5),4,IF(AND(CB5&gt;=5),5)))))</f>
        <v>5</v>
      </c>
      <c r="CE5" s="40">
        <f>SUM(BT5,BW5,BZ5,CC5)</f>
        <v>60</v>
      </c>
      <c r="CF5" s="30">
        <f>IF(CE5=0,"",IF(CE5&lt;4,2,IF(AND(CE5&gt;=4,CE5&lt;16),3,IF(AND(CE5&gt;=16,CE5&lt;30),4,IF(AND(CE5&gt;=30),5)))))</f>
        <v>5</v>
      </c>
      <c r="CG5" s="40">
        <f>SUM(BQ5,CE5)</f>
        <v>240</v>
      </c>
      <c r="CH5" s="223">
        <v>5</v>
      </c>
      <c r="CI5" s="32" t="s">
        <v>31</v>
      </c>
    </row>
    <row r="6" spans="1:87">
      <c r="A6" s="3"/>
      <c r="B6" s="32" t="s">
        <v>29</v>
      </c>
      <c r="C6" s="48">
        <v>35699</v>
      </c>
      <c r="D6" s="47" t="s">
        <v>19</v>
      </c>
      <c r="E6" s="32">
        <v>132</v>
      </c>
      <c r="F6" s="32">
        <v>27</v>
      </c>
      <c r="G6" s="32">
        <v>59</v>
      </c>
      <c r="H6" s="3">
        <v>1.139</v>
      </c>
      <c r="I6" s="44">
        <f>F6/(E6/100)^2</f>
        <v>15.495867768595041</v>
      </c>
      <c r="J6" s="43" t="s">
        <v>30</v>
      </c>
      <c r="K6" s="32">
        <f>((E6-F6)*E6)/(H6*2*G6)</f>
        <v>103.12346542462164</v>
      </c>
      <c r="L6" s="32" t="s">
        <v>29</v>
      </c>
      <c r="M6" s="32">
        <v>165</v>
      </c>
      <c r="N6" s="40">
        <v>15</v>
      </c>
      <c r="O6" s="30">
        <f>IF(M6=0,"",IF(M6&lt;150,2,IF(AND(M6&gt;=150,M6&lt;155),3,IF(AND(M6&gt;=155,M6&lt;160),4,IF(AND(M6&gt;=160),5)))))</f>
        <v>5</v>
      </c>
      <c r="P6" s="32">
        <v>4.9000000000000004</v>
      </c>
      <c r="Q6" s="40">
        <v>20</v>
      </c>
      <c r="R6" s="30">
        <f>IF(P6=0,"",IF(P6&gt;6.2,2,IF(AND(P6&lt;=6.2,P6&gt;5.9),3,IF(AND(P6&lt;=5.9,P6&gt;5.6),4,IF(AND(P6&lt;=5.6),5)))))</f>
        <v>5</v>
      </c>
      <c r="S6" s="32">
        <v>10</v>
      </c>
      <c r="T6" s="40">
        <v>20</v>
      </c>
      <c r="U6" s="30">
        <f>IF(S6=0,"",IF(S6&gt;11.4,2,IF(AND(S6&lt;=11.4,S6&gt;11.2),3,IF(AND(S6&lt;=11.2,S6&gt;11),4,IF(AND(S6&lt;=11),5)))))</f>
        <v>5</v>
      </c>
      <c r="V6" s="32">
        <v>1690</v>
      </c>
      <c r="W6" s="40">
        <v>20</v>
      </c>
      <c r="X6" s="30">
        <f>IF(V6=0,"",IF(V6&lt;960,2,IF(AND(V6&gt;=960,V6&lt;1100),3,IF(AND(V6&gt;=1100,V6&lt;1230),4,IF(AND(V6&gt;=1230),5)))))</f>
        <v>5</v>
      </c>
      <c r="Y6" s="40">
        <f>SUM(N6,Q6,T6,W6)</f>
        <v>75</v>
      </c>
      <c r="Z6" s="30">
        <f>IF(Y6=0,"",IF(Y6&lt;4,2,IF(AND(Y6&gt;=4,Y6&lt;16),3,IF(AND(Y6&gt;=16,Y6&lt;30),4,IF(AND(Y6&gt;=30),5)))))</f>
        <v>5</v>
      </c>
      <c r="AA6" s="223">
        <v>5</v>
      </c>
      <c r="AB6" s="32" t="s">
        <v>29</v>
      </c>
      <c r="AC6" s="32">
        <v>38</v>
      </c>
      <c r="AD6" s="40">
        <v>10</v>
      </c>
      <c r="AE6" s="30">
        <f>IF(AC6=0,"",IF(AC6&lt;26,2,IF(AND(AC6&gt;=26,AC6&lt;32),3,IF(AND(AC6&gt;=32,AC6&lt;38),4,IF(AND(AC6&gt;=38),5)))))</f>
        <v>5</v>
      </c>
      <c r="AF6" s="32">
        <v>2</v>
      </c>
      <c r="AG6" s="40">
        <v>0</v>
      </c>
      <c r="AH6" s="30">
        <f>IF(AF6=0,"",IF(AF6&lt;4,2,IF(AND(AF6&gt;=4,AF6&lt;6),3,IF(AND(AF6&gt;=6,AF6&lt;9),4,IF(AND(AF6&gt;=9),5)))))</f>
        <v>2</v>
      </c>
      <c r="AI6" s="32">
        <v>110</v>
      </c>
      <c r="AJ6" s="40">
        <v>20</v>
      </c>
      <c r="AK6" s="30">
        <f>IF(AI6=0,"",IF(AI6&lt;55,2,IF(AND(AI6&gt;=55,AI6&lt;60),3,IF(AND(AI6&gt;=60,AI6&lt;70),4,IF(AND(AI6&gt;=70),5)))))</f>
        <v>5</v>
      </c>
      <c r="AL6" s="32">
        <v>5</v>
      </c>
      <c r="AM6" s="40">
        <v>8</v>
      </c>
      <c r="AN6" s="30">
        <f>IF(AL6=0,"",IF(AL6&lt;3,2,IF(AND(AL6&gt;=3,AL6&lt;4),3,IF(AND(AL6&gt;=4,AL6&lt;6),4,IF(AND(AL6&gt;=6),5)))))</f>
        <v>4</v>
      </c>
      <c r="AO6" s="32">
        <v>12</v>
      </c>
      <c r="AP6" s="40">
        <v>12</v>
      </c>
      <c r="AQ6" s="30">
        <f>IF(AO6=0,"",IF(AO6&lt;1,2,IF(AND(AO6&gt;=1,AO6&lt;5),3,IF(AND(AO6&gt;=5,AO6&lt;10),4,IF(AND(AO6&gt;=10),5)))))</f>
        <v>5</v>
      </c>
      <c r="AR6" s="32">
        <v>10</v>
      </c>
      <c r="AS6" s="40">
        <v>10</v>
      </c>
      <c r="AT6" s="30">
        <f>IF(AR6=0,"",IF(AR6&lt;1,2,IF(AND(AR6&gt;=1,AR6&lt;5),3,IF(AND(AR6&gt;=5,AR6&lt;10),4,IF(AND(AR6&gt;=10),5)))))</f>
        <v>5</v>
      </c>
      <c r="AU6" s="40">
        <f>SUM(AD6,AG6,AJ6,AM6,AP6,AS6)</f>
        <v>60</v>
      </c>
      <c r="AV6" s="30">
        <f>IF(AU6=0,"",IF(AU6&lt;6,2,IF(AND(AU6&gt;=6,AU6&lt;20),3,IF(AND(AU6&gt;=20,AU6&lt;46),4,IF(AND(AU6&gt;=46),5)))))</f>
        <v>5</v>
      </c>
      <c r="AW6" s="40">
        <f>SUM(Y6,AU6)</f>
        <v>135</v>
      </c>
      <c r="AX6" s="41"/>
      <c r="AY6" s="32" t="s">
        <v>29</v>
      </c>
      <c r="AZ6" s="31">
        <v>8.1199999999999992</v>
      </c>
      <c r="BA6" s="344">
        <v>0</v>
      </c>
      <c r="BB6" s="30">
        <f>IF(AZ6=0,"",IF(AZ6&gt;7.4,2,IF(AND(AZ6&lt;=7.4,AZ6&gt;7),3,IF(AND(AZ6&lt;=7,AZ6&gt;6.3),4,IF(AND(AZ6&lt;=6.3),5)))))</f>
        <v>2</v>
      </c>
      <c r="BC6" s="31">
        <v>20.23</v>
      </c>
      <c r="BD6" s="344">
        <v>0</v>
      </c>
      <c r="BE6" s="30">
        <f>IF(BC6=0,"",IF(BC6&gt;16,2,IF(AND(BC6&lt;=16,BC6&gt;15),3,IF(AND(BC6&lt;=15,BC6&gt;14),4,IF(AND(BC6&lt;=14),5)))))</f>
        <v>2</v>
      </c>
      <c r="BF6" s="31">
        <v>20</v>
      </c>
      <c r="BG6" s="344">
        <v>20</v>
      </c>
      <c r="BH6" s="30">
        <f>IF(BF6=0,"",IF(BF6&lt;6,2,IF(AND(BF6&gt;=6,BF6&lt;8),3,IF(AND(BF6&gt;=8,BF6&lt;10),4,IF(AND(BF6&gt;=10),5)))))</f>
        <v>5</v>
      </c>
      <c r="BI6" s="31">
        <v>13.700000000000001</v>
      </c>
      <c r="BJ6" s="344">
        <v>12</v>
      </c>
      <c r="BK6" s="30">
        <f>IF(BI6=0,"",IF(BI6&gt;16.2,2,IF(AND(BI6&lt;=16.2,BI6&gt;15),3,IF(AND(BI6&lt;=15,BI6&gt;14),4,IF(AND(BI6&lt;=14),5)))))</f>
        <v>5</v>
      </c>
      <c r="BL6" s="31">
        <v>8</v>
      </c>
      <c r="BM6" s="344">
        <v>18</v>
      </c>
      <c r="BN6" s="30">
        <f>IF(BL6=0,"",IF(BL6&lt;2,2,IF(AND(BL6&gt;=2,BL6&lt;3),3,IF(AND(BL6&gt;=3,BL6&lt;4),4,IF(AND(BL6&gt;=4),5)))))</f>
        <v>5</v>
      </c>
      <c r="BO6" s="40">
        <f>SUM(BA6,BD6,BG6,BJ6,BM6)</f>
        <v>50</v>
      </c>
      <c r="BP6" s="30">
        <f>IF(BO6=0,"",IF(BO6&lt;5,2,IF(AND(BO6&gt;=5,BO6&lt;17),3,IF(AND(BO6&gt;=17,BO6&lt;40),4,IF(AND(BO6&gt;=40),5)))))</f>
        <v>5</v>
      </c>
      <c r="BQ6" s="40">
        <f>SUM(AW6,BO6)</f>
        <v>185</v>
      </c>
      <c r="BR6" s="41"/>
      <c r="BS6" s="31">
        <v>9.5</v>
      </c>
      <c r="BT6" s="344">
        <v>18</v>
      </c>
      <c r="BU6" s="30">
        <f>IF(BS6=0,"",IF(BS6&gt;11.2,2,IF(AND(BS6&lt;=11.2,BS6&gt;10.6),3,IF(AND(BS6&lt;=10.6,BS6&gt;10),4,IF(AND(BS6&lt;=10),5)))))</f>
        <v>5</v>
      </c>
      <c r="BV6" s="31">
        <v>7.18</v>
      </c>
      <c r="BW6" s="344">
        <v>15</v>
      </c>
      <c r="BX6" s="30">
        <f>IF(BV6=0,"",IF(BV6&gt;9.1,2,IF(AND(BV6&lt;=9.1,BV6&gt;8.4),3,IF(AND(BV6&lt;=8.4,BV6&gt;8),4,IF(AND(BV6&lt;=8),5)))))</f>
        <v>5</v>
      </c>
      <c r="BY6" s="31"/>
      <c r="BZ6" s="344"/>
      <c r="CA6" s="30" t="str">
        <f>IF(BY6=0,"",IF(BY6&lt;20,2,IF(AND(BY6&gt;=20,BY6&lt;25),3,IF(AND(BY6&gt;=25,BY6&lt;30),4,IF(AND(BY6&gt;=30),5)))))</f>
        <v/>
      </c>
      <c r="CB6" s="31">
        <v>18</v>
      </c>
      <c r="CC6" s="344">
        <v>20</v>
      </c>
      <c r="CD6" s="30">
        <f>IF(CB6=0,"",IF(CB6&lt;1,2,IF(AND(CB6&gt;=1,CB6&lt;3),3,IF(AND(CB6&gt;=3,CB6&lt;5),4,IF(AND(CB6&gt;=5),5)))))</f>
        <v>5</v>
      </c>
      <c r="CE6" s="40">
        <f>SUM(BT6,BW6,BZ6,CC6)</f>
        <v>53</v>
      </c>
      <c r="CF6" s="30">
        <f>IF(CE6=0,"",IF(CE6&lt;4,2,IF(AND(CE6&gt;=4,CE6&lt;16),3,IF(AND(CE6&gt;=16,CE6&lt;30),4,IF(AND(CE6&gt;=30),5)))))</f>
        <v>5</v>
      </c>
      <c r="CG6" s="40">
        <f>SUM(BQ6,CE6)</f>
        <v>238</v>
      </c>
      <c r="CH6" s="41"/>
      <c r="CI6" s="32" t="s">
        <v>29</v>
      </c>
    </row>
    <row r="7" spans="1:87">
      <c r="A7" s="3"/>
      <c r="B7" s="34" t="s">
        <v>28</v>
      </c>
      <c r="C7" s="48">
        <v>35713</v>
      </c>
      <c r="D7" s="47" t="s">
        <v>19</v>
      </c>
      <c r="E7" s="32">
        <v>140</v>
      </c>
      <c r="F7" s="32">
        <v>39</v>
      </c>
      <c r="G7" s="32">
        <v>68</v>
      </c>
      <c r="H7" s="3">
        <v>1.139</v>
      </c>
      <c r="I7" s="44">
        <f>F7/(E7/100)^2</f>
        <v>19.897959183673471</v>
      </c>
      <c r="J7" s="43" t="s">
        <v>26</v>
      </c>
      <c r="K7" s="32">
        <f>((E7-F7)*E7)/(H7*2*G7)</f>
        <v>91.282342612198519</v>
      </c>
      <c r="L7" s="34" t="s">
        <v>28</v>
      </c>
      <c r="M7" s="32">
        <v>141</v>
      </c>
      <c r="N7" s="40">
        <v>0</v>
      </c>
      <c r="O7" s="30">
        <f>IF(M7=0,"",IF(M7&lt;150,2,IF(AND(M7&gt;=150,M7&lt;155),3,IF(AND(M7&gt;=155,M7&lt;160),4,IF(AND(M7&gt;=160),5)))))</f>
        <v>2</v>
      </c>
      <c r="P7" s="32">
        <v>5.4</v>
      </c>
      <c r="Q7" s="40">
        <v>14</v>
      </c>
      <c r="R7" s="30">
        <f>IF(P7=0,"",IF(P7&gt;6.2,2,IF(AND(P7&lt;=6.2,P7&gt;5.9),3,IF(AND(P7&lt;=5.9,P7&gt;5.6),4,IF(AND(P7&lt;=5.6),5)))))</f>
        <v>5</v>
      </c>
      <c r="S7" s="32">
        <v>11.1</v>
      </c>
      <c r="T7" s="40">
        <v>8</v>
      </c>
      <c r="U7" s="30">
        <f>IF(S7=0,"",IF(S7&gt;11.4,2,IF(AND(S7&lt;=11.4,S7&gt;11.2),3,IF(AND(S7&lt;=11.2,S7&gt;11),4,IF(AND(S7&lt;=11),5)))))</f>
        <v>4</v>
      </c>
      <c r="V7" s="32">
        <v>1300</v>
      </c>
      <c r="W7" s="40">
        <v>20</v>
      </c>
      <c r="X7" s="30">
        <f>IF(V7=0,"",IF(V7&lt;960,2,IF(AND(V7&gt;=960,V7&lt;1100),3,IF(AND(V7&gt;=1100,V7&lt;1230),4,IF(AND(V7&gt;=1230),5)))))</f>
        <v>5</v>
      </c>
      <c r="Y7" s="40">
        <f>SUM(N7,Q7,T7,W7)</f>
        <v>42</v>
      </c>
      <c r="Z7" s="30">
        <f>IF(Y7=0,"",IF(Y7&lt;4,2,IF(AND(Y7&gt;=4,Y7&lt;16),3,IF(AND(Y7&gt;=16,Y7&lt;30),4,IF(AND(Y7&gt;=30),5)))))</f>
        <v>5</v>
      </c>
      <c r="AA7" s="41"/>
      <c r="AB7" s="34" t="s">
        <v>28</v>
      </c>
      <c r="AC7" s="32">
        <v>37</v>
      </c>
      <c r="AD7" s="40">
        <v>9</v>
      </c>
      <c r="AE7" s="30">
        <f>IF(AC7=0,"",IF(AC7&lt;26,2,IF(AND(AC7&gt;=26,AC7&lt;32),3,IF(AND(AC7&gt;=32,AC7&lt;38),4,IF(AND(AC7&gt;=38),5)))))</f>
        <v>4</v>
      </c>
      <c r="AF7" s="32">
        <v>-5</v>
      </c>
      <c r="AG7" s="40">
        <v>0</v>
      </c>
      <c r="AH7" s="30">
        <f>IF(AF7=0,"",IF(AF7&lt;4,2,IF(AND(AF7&gt;=4,AF7&lt;6),3,IF(AND(AF7&gt;=6,AF7&lt;9),4,IF(AND(AF7&gt;=9),5)))))</f>
        <v>2</v>
      </c>
      <c r="AI7" s="32">
        <v>93</v>
      </c>
      <c r="AJ7" s="40">
        <v>17</v>
      </c>
      <c r="AK7" s="30">
        <f>IF(AI7=0,"",IF(AI7&lt;55,2,IF(AND(AI7&gt;=55,AI7&lt;60),3,IF(AND(AI7&gt;=60,AI7&lt;70),4,IF(AND(AI7&gt;=70),5)))))</f>
        <v>5</v>
      </c>
      <c r="AL7" s="32">
        <v>-1</v>
      </c>
      <c r="AM7" s="40">
        <v>0</v>
      </c>
      <c r="AN7" s="30">
        <f>IF(AL7=0,"",IF(AL7&lt;3,2,IF(AND(AL7&gt;=3,AL7&lt;4),3,IF(AND(AL7&gt;=4,AL7&lt;6),4,IF(AND(AL7&gt;=6),5)))))</f>
        <v>2</v>
      </c>
      <c r="AO7" s="32">
        <v>7</v>
      </c>
      <c r="AP7" s="40">
        <v>7</v>
      </c>
      <c r="AQ7" s="30">
        <f>IF(AO7=0,"",IF(AO7&lt;1,2,IF(AND(AO7&gt;=1,AO7&lt;5),3,IF(AND(AO7&gt;=5,AO7&lt;10),4,IF(AND(AO7&gt;=10),5)))))</f>
        <v>4</v>
      </c>
      <c r="AR7" s="32"/>
      <c r="AS7" s="40"/>
      <c r="AT7" s="30" t="str">
        <f>IF(AR7=0,"",IF(AR7&lt;1,2,IF(AND(AR7&gt;=1,AR7&lt;5),3,IF(AND(AR7&gt;=5,AR7&lt;10),4,IF(AND(AR7&gt;=10),5)))))</f>
        <v/>
      </c>
      <c r="AU7" s="40">
        <f>SUM(AD7,AG7,AJ7,AM7,AP7,AS7)</f>
        <v>33</v>
      </c>
      <c r="AV7" s="30">
        <f>IF(AU7=0,"",IF(AU7&lt;6,2,IF(AND(AU7&gt;=6,AU7&lt;20),3,IF(AND(AU7&gt;=20,AU7&lt;46),4,IF(AND(AU7&gt;=46),5)))))</f>
        <v>4</v>
      </c>
      <c r="AW7" s="40">
        <f>SUM(Y7,AU7)</f>
        <v>75</v>
      </c>
      <c r="AX7" s="41"/>
      <c r="AY7" s="34" t="s">
        <v>28</v>
      </c>
      <c r="AZ7" s="31"/>
      <c r="BA7" s="344"/>
      <c r="BB7" s="30" t="str">
        <f>IF(AZ7=0,"",IF(AZ7&gt;7.4,2,IF(AND(AZ7&lt;=7.4,AZ7&gt;7),3,IF(AND(AZ7&lt;=7,AZ7&gt;6.3),4,IF(AND(AZ7&lt;=6.3),5)))))</f>
        <v/>
      </c>
      <c r="BC7" s="31"/>
      <c r="BD7" s="344"/>
      <c r="BE7" s="30" t="str">
        <f>IF(BC7=0,"",IF(BC7&gt;16,2,IF(AND(BC7&lt;=16,BC7&gt;15),3,IF(AND(BC7&lt;=15,BC7&gt;14),4,IF(AND(BC7&lt;=14),5)))))</f>
        <v/>
      </c>
      <c r="BF7" s="31">
        <v>20</v>
      </c>
      <c r="BG7" s="344">
        <v>20</v>
      </c>
      <c r="BH7" s="30">
        <f>IF(BF7=0,"",IF(BF7&lt;6,2,IF(AND(BF7&gt;=6,BF7&lt;8),3,IF(AND(BF7&gt;=8,BF7&lt;10),4,IF(AND(BF7&gt;=10),5)))))</f>
        <v>5</v>
      </c>
      <c r="BI7" s="31">
        <v>14.9</v>
      </c>
      <c r="BJ7" s="344">
        <v>5</v>
      </c>
      <c r="BK7" s="30">
        <f>IF(BI7=0,"",IF(BI7&gt;16.2,2,IF(AND(BI7&lt;=16.2,BI7&gt;15),3,IF(AND(BI7&lt;=15,BI7&gt;14),4,IF(AND(BI7&lt;=14),5)))))</f>
        <v>4</v>
      </c>
      <c r="BL7" s="31">
        <v>4</v>
      </c>
      <c r="BM7" s="344">
        <v>10</v>
      </c>
      <c r="BN7" s="30">
        <f>IF(BL7=0,"",IF(BL7&lt;2,2,IF(AND(BL7&gt;=2,BL7&lt;3),3,IF(AND(BL7&gt;=3,BL7&lt;4),4,IF(AND(BL7&gt;=4),5)))))</f>
        <v>5</v>
      </c>
      <c r="BO7" s="40">
        <f>SUM(BA7,BD7,BG7,BJ7,BM7)</f>
        <v>35</v>
      </c>
      <c r="BP7" s="30">
        <f>IF(BO7=0,"",IF(BO7&lt;5,2,IF(AND(BO7&gt;=5,BO7&lt;17),3,IF(AND(BO7&gt;=17,BO7&lt;40),4,IF(AND(BO7&gt;=40),5)))))</f>
        <v>4</v>
      </c>
      <c r="BQ7" s="40">
        <f>SUM(AW7,BO7)</f>
        <v>110</v>
      </c>
      <c r="BR7" s="41"/>
      <c r="BS7" s="31">
        <v>10.9</v>
      </c>
      <c r="BT7" s="344">
        <v>3</v>
      </c>
      <c r="BU7" s="30">
        <f>IF(BS7=0,"",IF(BS7&gt;11.2,2,IF(AND(BS7&lt;=11.2,BS7&gt;10.6),3,IF(AND(BS7&lt;=10.6,BS7&gt;10),4,IF(AND(BS7&lt;=10),5)))))</f>
        <v>3</v>
      </c>
      <c r="BV7" s="31">
        <v>8.58</v>
      </c>
      <c r="BW7" s="344">
        <v>2</v>
      </c>
      <c r="BX7" s="30">
        <f>IF(BV7=0,"",IF(BV7&gt;9.1,2,IF(AND(BV7&lt;=9.1,BV7&gt;8.4),3,IF(AND(BV7&lt;=8.4,BV7&gt;8),4,IF(AND(BV7&lt;=8),5)))))</f>
        <v>3</v>
      </c>
      <c r="BY7" s="31">
        <v>26</v>
      </c>
      <c r="BZ7" s="344">
        <v>6</v>
      </c>
      <c r="CA7" s="30">
        <f>IF(BY7=0,"",IF(BY7&lt;20,2,IF(AND(BY7&gt;=20,BY7&lt;25),3,IF(AND(BY7&gt;=25,BY7&lt;30),4,IF(AND(BY7&gt;=30),5)))))</f>
        <v>4</v>
      </c>
      <c r="CB7" s="31">
        <v>5</v>
      </c>
      <c r="CC7" s="344">
        <v>10</v>
      </c>
      <c r="CD7" s="30">
        <f>IF(CB7=0,"",IF(CB7&lt;1,2,IF(AND(CB7&gt;=1,CB7&lt;3),3,IF(AND(CB7&gt;=3,CB7&lt;5),4,IF(AND(CB7&gt;=5),5)))))</f>
        <v>5</v>
      </c>
      <c r="CE7" s="40">
        <f>SUM(BT7,BW7,BZ7,CC7)</f>
        <v>21</v>
      </c>
      <c r="CF7" s="30">
        <f>IF(CE7=0,"",IF(CE7&lt;4,2,IF(AND(CE7&gt;=4,CE7&lt;16),3,IF(AND(CE7&gt;=16,CE7&lt;30),4,IF(AND(CE7&gt;=30),5)))))</f>
        <v>4</v>
      </c>
      <c r="CG7" s="40">
        <f>SUM(BQ7,CE7)</f>
        <v>131</v>
      </c>
      <c r="CH7" s="41"/>
      <c r="CI7" s="34" t="s">
        <v>28</v>
      </c>
    </row>
    <row r="8" spans="1:87">
      <c r="A8" s="8"/>
      <c r="B8" s="50"/>
      <c r="C8" s="63"/>
      <c r="D8" s="64"/>
      <c r="E8" s="63"/>
      <c r="F8" s="63"/>
      <c r="G8" s="63"/>
      <c r="I8" s="63"/>
      <c r="J8" s="63"/>
      <c r="K8" s="62"/>
      <c r="L8" s="50"/>
      <c r="M8" s="61"/>
      <c r="N8" s="60"/>
      <c r="O8" s="59"/>
      <c r="P8" s="61"/>
      <c r="Q8" s="60"/>
      <c r="R8" s="59"/>
      <c r="S8" s="61"/>
      <c r="T8" s="60"/>
      <c r="U8" s="59"/>
      <c r="V8" s="61"/>
      <c r="W8" s="60"/>
      <c r="X8" s="59"/>
      <c r="Y8" s="60"/>
      <c r="Z8" s="59"/>
      <c r="AA8" s="58"/>
      <c r="AB8" s="50"/>
      <c r="AC8" s="36"/>
      <c r="AD8" s="57"/>
      <c r="AE8" s="54"/>
      <c r="AF8" s="36"/>
      <c r="AG8" s="57"/>
      <c r="AH8" s="54"/>
      <c r="AI8" s="36"/>
      <c r="AJ8" s="57"/>
      <c r="AK8" s="54"/>
      <c r="AL8" s="36"/>
      <c r="AM8" s="57"/>
      <c r="AN8" s="54"/>
      <c r="AO8" s="36"/>
      <c r="AP8" s="57"/>
      <c r="AQ8" s="54"/>
      <c r="AR8" s="36"/>
      <c r="AS8" s="57"/>
      <c r="AT8" s="54"/>
      <c r="AU8" s="57"/>
      <c r="AV8" s="54"/>
      <c r="AW8" s="56"/>
      <c r="AX8" s="55"/>
      <c r="AY8" s="50"/>
      <c r="AZ8" s="36"/>
      <c r="BA8" s="345"/>
      <c r="BB8" s="54"/>
      <c r="BC8" s="36"/>
      <c r="BD8" s="345"/>
      <c r="BE8" s="54"/>
      <c r="BF8" s="36"/>
      <c r="BG8" s="345"/>
      <c r="BH8" s="54"/>
      <c r="BI8" s="36"/>
      <c r="BJ8" s="345"/>
      <c r="BK8" s="54"/>
      <c r="BL8" s="36"/>
      <c r="BM8" s="345"/>
      <c r="BN8" s="54"/>
      <c r="BO8" s="36"/>
      <c r="BQ8" s="53"/>
      <c r="BR8" s="226"/>
      <c r="BS8" s="51"/>
      <c r="BT8" s="346"/>
      <c r="BU8" s="52"/>
      <c r="BV8" s="51"/>
      <c r="BW8" s="346"/>
      <c r="BX8" s="52"/>
      <c r="BY8" s="51"/>
      <c r="BZ8" s="346"/>
      <c r="CA8" s="52"/>
      <c r="CB8" s="51"/>
      <c r="CC8" s="346"/>
      <c r="CD8" s="52"/>
      <c r="CE8" s="51"/>
      <c r="CF8" s="52"/>
      <c r="CG8" s="51"/>
      <c r="CH8" s="51"/>
      <c r="CI8" s="50"/>
    </row>
    <row r="9" spans="1:87">
      <c r="A9" s="3"/>
      <c r="B9" s="32" t="s">
        <v>27</v>
      </c>
      <c r="C9" s="48">
        <v>35696</v>
      </c>
      <c r="D9" s="47" t="s">
        <v>19</v>
      </c>
      <c r="E9" s="32">
        <v>132</v>
      </c>
      <c r="F9" s="32">
        <v>30</v>
      </c>
      <c r="G9" s="45">
        <v>61</v>
      </c>
      <c r="H9" s="3">
        <v>1.1499999999999999</v>
      </c>
      <c r="I9" s="44">
        <f>F9/(E9/100)^2</f>
        <v>17.217630853994489</v>
      </c>
      <c r="J9" s="43" t="s">
        <v>26</v>
      </c>
      <c r="K9" s="32">
        <f>((E9-F9)*E9)/(H9*2*G9)</f>
        <v>95.965787598004283</v>
      </c>
      <c r="L9" s="32" t="s">
        <v>27</v>
      </c>
      <c r="M9" s="32">
        <v>158</v>
      </c>
      <c r="N9" s="40">
        <v>18</v>
      </c>
      <c r="O9" s="30">
        <f>IF(M9=0,"",IF(M9&lt;130,2,IF(AND(M9&gt;=130,M9&lt;138),3,IF(AND(M9&gt;=138,M9&lt;148),4,IF(AND(M9&gt;=148),5)))))</f>
        <v>5</v>
      </c>
      <c r="P9" s="32">
        <v>5.0999999999999996</v>
      </c>
      <c r="Q9" s="40">
        <v>20</v>
      </c>
      <c r="R9" s="30">
        <f>IF(P9=0,"",IF(P9&gt;6.6,2,IF(AND(P9&lt;=6.6,P9&gt;6.2),3,IF(AND(P9&lt;=6.2,P9&gt;5.8),4,IF(AND(P9&lt;=5.8),5)))))</f>
        <v>5</v>
      </c>
      <c r="S9" s="32">
        <v>11.4</v>
      </c>
      <c r="T9" s="40">
        <v>10</v>
      </c>
      <c r="U9" s="30">
        <f>IF(S9=0,"",IF(S9&gt;12,2,IF(AND(S9&lt;=12,S9&gt;11.8),3,IF(AND(S9&lt;=11.8,S9&gt;11.4),4,IF(AND(S9&lt;=11.4),5)))))</f>
        <v>5</v>
      </c>
      <c r="V9" s="32">
        <v>1275</v>
      </c>
      <c r="W9" s="40">
        <v>20</v>
      </c>
      <c r="X9" s="30">
        <f>IF(V9=0,"",IF(V9&lt;900,2,IF(AND(V9&gt;=900,V9&lt;1040),3,IF(AND(V9&gt;=1040,V9&lt;1170),4,IF(AND(V9&gt;=1170),5)))))</f>
        <v>5</v>
      </c>
      <c r="Y9" s="40">
        <f>SUM(N9,Q9,T9,W9)</f>
        <v>68</v>
      </c>
      <c r="Z9" s="30">
        <f>IF(Y9=0,"",IF(Y9&lt;4,2,IF(AND(Y9&gt;=4,Y9&lt;16),3,IF(AND(Y9&gt;=16,Y9&lt;30),4,IF(AND(Y9&gt;=30),5)))))</f>
        <v>5</v>
      </c>
      <c r="AA9" s="223">
        <v>5</v>
      </c>
      <c r="AB9" s="32" t="s">
        <v>27</v>
      </c>
      <c r="AC9" s="29">
        <v>33</v>
      </c>
      <c r="AD9" s="42">
        <v>18</v>
      </c>
      <c r="AE9" s="30">
        <f>IF(AC9=0,"",IF(AC9&lt;18,2,IF(AND(AC9&gt;=18,AC9&lt;24),3,IF(AND(AC9&gt;=24,AC9&lt;28),4,IF(AND(AC9&gt;=28),5)))))</f>
        <v>5</v>
      </c>
      <c r="AF9" s="29">
        <v>10</v>
      </c>
      <c r="AG9" s="42">
        <v>7</v>
      </c>
      <c r="AH9" s="30">
        <f>IF(AF9=0,"",IF(AF9&lt;6,2,IF(AND(AF9&gt;=6,AF9&lt;9),3,IF(AND(AF9&gt;=9,AF9&lt;12),4,IF(AND(AF9&gt;=12),5)))))</f>
        <v>4</v>
      </c>
      <c r="AI9" s="29">
        <v>111</v>
      </c>
      <c r="AJ9" s="42">
        <v>16</v>
      </c>
      <c r="AK9" s="30">
        <f>IF(AI9=0,"",IF(AI9&lt;30,2,IF(AND(AI9&gt;=30,AI9&lt;50),3,IF(AND(AI9&gt;=50,AI9&lt;80),4,IF(AND(AI9&gt;=80),5)))))</f>
        <v>5</v>
      </c>
      <c r="AL9" s="29">
        <v>16</v>
      </c>
      <c r="AM9" s="42">
        <v>20</v>
      </c>
      <c r="AN9" s="30">
        <f>IF(AL9=0,"",IF(AL9&lt;7,2,IF(AND(AL9&gt;=7,AL9&lt;8),3,IF(AND(AL9&gt;=8,AL9&lt;11),4,IF(AND(AL9&gt;=11),5)))))</f>
        <v>5</v>
      </c>
      <c r="AO9" s="29">
        <v>13</v>
      </c>
      <c r="AP9" s="42">
        <v>13</v>
      </c>
      <c r="AQ9" s="30">
        <f>IF(AO9=0,"",IF(AO9&lt;1,2,IF(AND(AO9&gt;=1,AO9&lt;5),3,IF(AND(AO9&gt;=5,AO9&lt;10),4,IF(AND(AO9&gt;=10),5)))))</f>
        <v>5</v>
      </c>
      <c r="AR9" s="29">
        <v>10</v>
      </c>
      <c r="AS9" s="42">
        <v>10</v>
      </c>
      <c r="AT9" s="30">
        <f>IF(AR9=0,"",IF(AR9&lt;1,2,IF(AND(AR9&gt;=1,AR9&lt;5),3,IF(AND(AR9&gt;=5,AR9&lt;10),4,IF(AND(AR9&gt;=10),5)))))</f>
        <v>5</v>
      </c>
      <c r="AU9" s="40">
        <f>SUM(AD9,AG9,AJ9,AM9,AP9,AS9)</f>
        <v>84</v>
      </c>
      <c r="AV9" s="30">
        <f>IF(AU9=0,"",IF(AU9&lt;6,2,IF(AND(AU9&gt;=6,AU9&lt;20),3,IF(AND(AU9&gt;=20,AU9&lt;46),4,IF(AND(AU9&gt;=46),5)))))</f>
        <v>5</v>
      </c>
      <c r="AW9" s="40">
        <f>SUM(Y9,AU9)</f>
        <v>152</v>
      </c>
      <c r="AX9" s="41"/>
      <c r="AY9" s="32" t="s">
        <v>27</v>
      </c>
      <c r="AZ9" s="31">
        <v>8.1199999999999992</v>
      </c>
      <c r="BA9" s="344">
        <v>5</v>
      </c>
      <c r="BB9" s="30">
        <v>3</v>
      </c>
      <c r="BC9" s="31">
        <v>25.27</v>
      </c>
      <c r="BD9" s="344">
        <v>1</v>
      </c>
      <c r="BE9" s="30">
        <v>3</v>
      </c>
      <c r="BF9" s="31">
        <v>20</v>
      </c>
      <c r="BG9" s="344">
        <v>20</v>
      </c>
      <c r="BH9" s="30">
        <f>IF(BF9=0,"",IF(BF9&lt;6,2,IF(AND(BF9&gt;=6,BF9&lt;8),3,IF(AND(BF9&gt;=8,BF9&lt;10),4,IF(AND(BF9&gt;=10),5)))))</f>
        <v>5</v>
      </c>
      <c r="BI9" s="31">
        <v>14.9</v>
      </c>
      <c r="BJ9" s="344">
        <v>13</v>
      </c>
      <c r="BK9" s="30">
        <f>IF(BI9=0,"",IF(BI9&gt;18.5,2,IF(AND(BI9&lt;=18.5,BI9&gt;17),3,IF(AND(BI9&lt;=17,BI9&gt;16),4,IF(AND(BI9&lt;=16),5)))))</f>
        <v>5</v>
      </c>
      <c r="BL9" s="31">
        <v>8</v>
      </c>
      <c r="BM9" s="344">
        <v>18</v>
      </c>
      <c r="BN9" s="30">
        <f>IF(BL9=0,"",IF(BL9&lt;1,2,IF(AND(BL9&gt;=1,BL9&lt;3),3,IF(AND(BL9&gt;=3,BL9&lt;4),4,IF(AND(BL9&gt;=4),5)))))</f>
        <v>5</v>
      </c>
      <c r="BO9" s="40">
        <f>SUM(BA9,BD9,BG9,BJ9,BM9)</f>
        <v>57</v>
      </c>
      <c r="BP9" s="30">
        <f>IF(BO9=0,"",IF(BO9&lt;5,2,IF(AND(BO9&gt;=5,BO9&lt;17),3,IF(AND(BO9&gt;=17,BO9&lt;40),4,IF(AND(BO9&gt;=40),5)))))</f>
        <v>5</v>
      </c>
      <c r="BQ9" s="40">
        <f>SUM(AW9,BO9)</f>
        <v>209</v>
      </c>
      <c r="BR9" s="41"/>
      <c r="BS9" s="31">
        <v>10.8</v>
      </c>
      <c r="BT9" s="344">
        <v>5</v>
      </c>
      <c r="BU9" s="30">
        <f>IF(BS9=0,"",IF(BS9&gt;11.4,2,IF(AND(BS9&lt;=11.4,BS9&gt;10.8),3,IF(AND(BS9&lt;=10.8,BS9&gt;10.4),4,IF(AND(BS9&lt;=10.4),5)))))</f>
        <v>4</v>
      </c>
      <c r="BV9" s="31">
        <v>9.02</v>
      </c>
      <c r="BW9" s="344">
        <v>9</v>
      </c>
      <c r="BX9" s="30">
        <f>IF(BV9=0,"",IF(BV9&gt;10.3,2,IF(AND(BV9&lt;=10.3,BV9&gt;9.4),3,IF(AND(BV9&lt;=9.4,BV9&gt;9),4,IF(AND(BV9&lt;=9),5)))))</f>
        <v>4</v>
      </c>
      <c r="BY9" s="31">
        <v>22</v>
      </c>
      <c r="BZ9" s="344">
        <v>12</v>
      </c>
      <c r="CA9" s="30">
        <f>IF(BY9=0,"",IF(BY9&lt;14,2,IF(AND(BY9&gt;=14,BY9&lt;17),3,IF(AND(BY9&gt;=17,BY9&lt;21),4,IF(AND(BY9&gt;=21),5)))))</f>
        <v>5</v>
      </c>
      <c r="CB9" s="31">
        <v>15</v>
      </c>
      <c r="CC9" s="344">
        <v>20</v>
      </c>
      <c r="CD9" s="30">
        <f>IF(CB9=0,"",IF(CB9&lt;1,2,IF(AND(CB9&gt;=1,CB9&lt;3),3,IF(AND(CB9&gt;=3,CB9&lt;5),4,IF(AND(CB9&gt;=5),5)))))</f>
        <v>5</v>
      </c>
      <c r="CE9" s="40">
        <f>SUM(BT9,BW9,BZ9,CC9)</f>
        <v>46</v>
      </c>
      <c r="CF9" s="30">
        <f>IF(CE9=0,"",IF(CE9&lt;4,2,IF(AND(CE9&gt;=4,CE9&lt;16),3,IF(AND(CE9&gt;=16,CE9&lt;30),4,IF(AND(CE9&gt;=30),5)))))</f>
        <v>5</v>
      </c>
      <c r="CG9" s="40">
        <f>SUM(BQ9,CE9)</f>
        <v>255</v>
      </c>
      <c r="CH9" s="41"/>
      <c r="CI9" s="32" t="s">
        <v>27</v>
      </c>
    </row>
    <row r="10" spans="1:87">
      <c r="A10" s="3"/>
      <c r="B10" s="3" t="s">
        <v>25</v>
      </c>
      <c r="C10" s="49">
        <v>35103</v>
      </c>
      <c r="D10" s="47" t="s">
        <v>19</v>
      </c>
      <c r="E10" s="32">
        <v>149</v>
      </c>
      <c r="F10" s="32">
        <v>40</v>
      </c>
      <c r="G10" s="39">
        <v>66</v>
      </c>
      <c r="H10" s="3">
        <v>1.145</v>
      </c>
      <c r="I10" s="44">
        <f>F10/(E10/100)^2</f>
        <v>18.017206432142697</v>
      </c>
      <c r="J10" s="43" t="s">
        <v>26</v>
      </c>
      <c r="K10" s="32">
        <f>((E10-F10)*E10)/(H10*2*G10)</f>
        <v>107.45666269683736</v>
      </c>
      <c r="L10" s="3" t="s">
        <v>25</v>
      </c>
      <c r="M10" s="3">
        <v>171</v>
      </c>
      <c r="N10" s="3">
        <v>20</v>
      </c>
      <c r="O10" s="30">
        <f>IF(M10=0,"",IF(M10&lt;130,2,IF(AND(M10&gt;=130,M10&lt;138),3,IF(AND(M10&gt;=138,M10&lt;148),4,IF(AND(M10&gt;=148),5)))))</f>
        <v>5</v>
      </c>
      <c r="P10" s="3">
        <v>4.9000000000000004</v>
      </c>
      <c r="Q10" s="3">
        <v>20</v>
      </c>
      <c r="R10" s="30">
        <f>IF(P10=0,"",IF(P10&gt;6.6,2,IF(AND(P10&lt;=6.6,P10&gt;6.2),3,IF(AND(P10&lt;=6.2,P10&gt;5.8),4,IF(AND(P10&lt;=5.8),5)))))</f>
        <v>5</v>
      </c>
      <c r="S10" s="3">
        <v>11.6</v>
      </c>
      <c r="T10" s="3">
        <v>8</v>
      </c>
      <c r="U10" s="30">
        <f>IF(S10=0,"",IF(S10&gt;12,2,IF(AND(S10&lt;=12,S10&gt;11.8),3,IF(AND(S10&lt;=11.8,S10&gt;11.4),4,IF(AND(S10&lt;=11.4),5)))))</f>
        <v>4</v>
      </c>
      <c r="V10" s="3">
        <v>1385</v>
      </c>
      <c r="W10" s="3">
        <v>20</v>
      </c>
      <c r="X10" s="30">
        <f>IF(V10=0,"",IF(V10&lt;900,2,IF(AND(V10&gt;=900,V10&lt;1040),3,IF(AND(V10&gt;=1040,V10&lt;1170),4,IF(AND(V10&gt;=1170),5)))))</f>
        <v>5</v>
      </c>
      <c r="Y10" s="40">
        <f>SUM(N10,Q10,T10,W10)</f>
        <v>68</v>
      </c>
      <c r="Z10" s="30">
        <f>IF(Y10=0,"",IF(Y10&lt;4,2,IF(AND(Y10&gt;=4,Y10&lt;16),3,IF(AND(Y10&gt;=16,Y10&lt;30),4,IF(AND(Y10&gt;=30),5)))))</f>
        <v>5</v>
      </c>
      <c r="AA10" s="41"/>
      <c r="AB10" s="3" t="s">
        <v>25</v>
      </c>
      <c r="AC10" s="29">
        <v>37</v>
      </c>
      <c r="AD10" s="42">
        <v>20</v>
      </c>
      <c r="AE10" s="30">
        <f>IF(AC10=0,"",IF(AC10&lt;18,2,IF(AND(AC10&gt;=18,AC10&lt;24),3,IF(AND(AC10&gt;=24,AC10&lt;28),4,IF(AND(AC10&gt;=28),5)))))</f>
        <v>5</v>
      </c>
      <c r="AF10" s="29">
        <v>6</v>
      </c>
      <c r="AG10" s="42">
        <v>1</v>
      </c>
      <c r="AH10" s="30">
        <f>IF(AF10=0,"",IF(AF10&lt;6,2,IF(AND(AF10&gt;=6,AF10&lt;9),3,IF(AND(AF10&gt;=9,AF10&lt;12),4,IF(AND(AF10&gt;=12),5)))))</f>
        <v>3</v>
      </c>
      <c r="AI10" s="29">
        <v>115</v>
      </c>
      <c r="AJ10" s="42">
        <v>17</v>
      </c>
      <c r="AK10" s="30">
        <f>IF(AI10=0,"",IF(AI10&lt;30,2,IF(AND(AI10&gt;=30,AI10&lt;50),3,IF(AND(AI10&gt;=50,AI10&lt;80),4,IF(AND(AI10&gt;=80),5)))))</f>
        <v>5</v>
      </c>
      <c r="AL10" s="29">
        <v>13</v>
      </c>
      <c r="AM10" s="42">
        <v>14</v>
      </c>
      <c r="AN10" s="30">
        <f>IF(AL10=0,"",IF(AL10&lt;7,2,IF(AND(AL10&gt;=7,AL10&lt;8),3,IF(AND(AL10&gt;=8,AL10&lt;11),4,IF(AND(AL10&gt;=11),5)))))</f>
        <v>5</v>
      </c>
      <c r="AO10" s="29">
        <v>10</v>
      </c>
      <c r="AP10" s="42">
        <v>10</v>
      </c>
      <c r="AQ10" s="30">
        <f>IF(AO10=0,"",IF(AO10&lt;1,2,IF(AND(AO10&gt;=1,AO10&lt;5),3,IF(AND(AO10&gt;=5,AO10&lt;10),4,IF(AND(AO10&gt;=10),5)))))</f>
        <v>5</v>
      </c>
      <c r="AR10" s="29">
        <v>10</v>
      </c>
      <c r="AS10" s="42">
        <v>10</v>
      </c>
      <c r="AT10" s="30">
        <f>IF(AR10=0,"",IF(AR10&lt;1,2,IF(AND(AR10&gt;=1,AR10&lt;5),3,IF(AND(AR10&gt;=5,AR10&lt;10),4,IF(AND(AR10&gt;=10),5)))))</f>
        <v>5</v>
      </c>
      <c r="AU10" s="40">
        <f>SUM(AD10,AG10,AJ10,AM10,AP10,AS10)</f>
        <v>72</v>
      </c>
      <c r="AV10" s="30">
        <f>IF(AU10=0,"",IF(AU10&lt;6,2,IF(AND(AU10&gt;=6,AU10&lt;20),3,IF(AND(AU10&gt;=20,AU10&lt;46),4,IF(AND(AU10&gt;=46),5)))))</f>
        <v>5</v>
      </c>
      <c r="AW10" s="40">
        <f>SUM(Y10,AU10)</f>
        <v>140</v>
      </c>
      <c r="AX10" s="41"/>
      <c r="AY10" s="3" t="s">
        <v>25</v>
      </c>
      <c r="AZ10" s="31"/>
      <c r="BA10" s="344"/>
      <c r="BB10" s="30" t="str">
        <f>IF(AZ10=0,"",IF(AZ10&gt;8.1,2,IF(AND(AZ10&lt;=8.1,AZ10&gt;7.3),3,IF(AND(AZ10&lt;=7.3,AZ10&gt;7),4,IF(AND(AZ10&lt;=7),5)))))</f>
        <v/>
      </c>
      <c r="BC10" s="31"/>
      <c r="BD10" s="344"/>
      <c r="BE10" s="30" t="str">
        <f>IF(BC10=0,"",IF(BC10&gt;16.4,2,IF(AND(BC10&lt;=16.4,BC10&gt;15.5),3,IF(AND(BC10&lt;=15.5,BC10&gt;15),4,IF(AND(BC10&lt;=15),5)))))</f>
        <v/>
      </c>
      <c r="BF10" s="31">
        <v>20</v>
      </c>
      <c r="BG10" s="344">
        <v>20</v>
      </c>
      <c r="BH10" s="30">
        <f>IF(BF10=0,"",IF(BF10&lt;6,2,IF(AND(BF10&gt;=6,BF10&lt;8),3,IF(AND(BF10&gt;=8,BF10&lt;10),4,IF(AND(BF10&gt;=10),5)))))</f>
        <v>5</v>
      </c>
      <c r="BI10" s="31">
        <v>15.4</v>
      </c>
      <c r="BJ10" s="344">
        <v>12</v>
      </c>
      <c r="BK10" s="30">
        <f>IF(BI10=0,"",IF(BI10&gt;18.5,2,IF(AND(BI10&lt;=18.5,BI10&gt;17),3,IF(AND(BI10&lt;=17,BI10&gt;16),4,IF(AND(BI10&lt;=16),5)))))</f>
        <v>5</v>
      </c>
      <c r="BL10" s="31">
        <v>9</v>
      </c>
      <c r="BM10" s="344">
        <v>20</v>
      </c>
      <c r="BN10" s="30">
        <f>IF(BL10=0,"",IF(BL10&lt;1,2,IF(AND(BL10&gt;=1,BL10&lt;3),3,IF(AND(BL10&gt;=3,BL10&lt;4),4,IF(AND(BL10&gt;=4),5)))))</f>
        <v>5</v>
      </c>
      <c r="BO10" s="40">
        <f>SUM(BA10,BD10,BG10,BJ10,BM10)</f>
        <v>52</v>
      </c>
      <c r="BP10" s="30">
        <f>IF(BO10=0,"",IF(BO10&lt;5,2,IF(AND(BO10&gt;=5,BO10&lt;17),3,IF(AND(BO10&gt;=17,BO10&lt;40),4,IF(AND(BO10&gt;=40),5)))))</f>
        <v>5</v>
      </c>
      <c r="BQ10" s="40">
        <f>SUM(AW10,BO10)</f>
        <v>192</v>
      </c>
      <c r="BR10" s="41"/>
      <c r="BS10" s="31">
        <v>9.5</v>
      </c>
      <c r="BT10" s="344">
        <v>19</v>
      </c>
      <c r="BU10" s="30">
        <f>IF(BS10=0,"",IF(BS10&gt;11.4,2,IF(AND(BS10&lt;=11.4,BS10&gt;10.8),3,IF(AND(BS10&lt;=10.8,BS10&gt;10.4),4,IF(AND(BS10&lt;=10.4),5)))))</f>
        <v>5</v>
      </c>
      <c r="BV10" s="31">
        <v>9.4499999999999993</v>
      </c>
      <c r="BW10" s="344">
        <v>4</v>
      </c>
      <c r="BX10" s="30">
        <f>IF(BV10=0,"",IF(BV10&gt;10.3,2,IF(AND(BV10&lt;=10.3,BV10&gt;9.4),3,IF(AND(BV10&lt;=9.4,BV10&gt;9),4,IF(AND(BV10&lt;=9),5)))))</f>
        <v>3</v>
      </c>
      <c r="BY10" s="31">
        <v>24</v>
      </c>
      <c r="BZ10" s="344">
        <v>14</v>
      </c>
      <c r="CA10" s="30">
        <f>IF(BY10=0,"",IF(BY10&lt;14,2,IF(AND(BY10&gt;=14,BY10&lt;17),3,IF(AND(BY10&gt;=17,BY10&lt;21),4,IF(AND(BY10&gt;=21),5)))))</f>
        <v>5</v>
      </c>
      <c r="CB10" s="31">
        <v>20</v>
      </c>
      <c r="CC10" s="344">
        <v>20</v>
      </c>
      <c r="CD10" s="30">
        <f>IF(CB10=0,"",IF(CB10&lt;1,2,IF(AND(CB10&gt;=1,CB10&lt;3),3,IF(AND(CB10&gt;=3,CB10&lt;5),4,IF(AND(CB10&gt;=5),5)))))</f>
        <v>5</v>
      </c>
      <c r="CE10" s="40">
        <f>SUM(BT10,BW10,BZ10,CC10)</f>
        <v>57</v>
      </c>
      <c r="CF10" s="30">
        <f>IF(CE10=0,"",IF(CE10&lt;4,2,IF(AND(CE10&gt;=4,CE10&lt;16),3,IF(AND(CE10&gt;=16,CE10&lt;30),4,IF(AND(CE10&gt;=30),5)))))</f>
        <v>5</v>
      </c>
      <c r="CG10" s="40">
        <f>SUM(BQ10,CE10)</f>
        <v>249</v>
      </c>
      <c r="CH10" s="41"/>
      <c r="CI10" s="3" t="s">
        <v>25</v>
      </c>
    </row>
    <row r="11" spans="1:87">
      <c r="A11" s="3"/>
      <c r="B11" s="32" t="s">
        <v>23</v>
      </c>
      <c r="C11" s="48">
        <v>35840</v>
      </c>
      <c r="D11" s="47" t="s">
        <v>19</v>
      </c>
      <c r="E11" s="32">
        <v>153</v>
      </c>
      <c r="F11" s="32">
        <v>46</v>
      </c>
      <c r="G11" s="32">
        <v>72</v>
      </c>
      <c r="H11" s="3">
        <v>1.117</v>
      </c>
      <c r="I11" s="44">
        <f>F11/(E11/100)^2</f>
        <v>19.650561749754367</v>
      </c>
      <c r="J11" s="43" t="s">
        <v>24</v>
      </c>
      <c r="K11" s="32">
        <f>((E11-F11)*E11)/(H11*2*G11)</f>
        <v>101.77931960608772</v>
      </c>
      <c r="L11" s="32" t="s">
        <v>23</v>
      </c>
      <c r="M11" s="32">
        <v>142</v>
      </c>
      <c r="N11" s="40">
        <v>7</v>
      </c>
      <c r="O11" s="30">
        <f>IF(M11=0,"",IF(M11&lt;130,2,IF(AND(M11&gt;=130,M11&lt;138),3,IF(AND(M11&gt;=138,M11&lt;148),4,IF(AND(M11&gt;=148),5)))))</f>
        <v>4</v>
      </c>
      <c r="P11" s="32">
        <v>5.4</v>
      </c>
      <c r="Q11" s="40">
        <v>16</v>
      </c>
      <c r="R11" s="30">
        <f>IF(P11=0,"",IF(P11&gt;6.6,2,IF(AND(P11&lt;=6.6,P11&gt;6.2),3,IF(AND(P11&lt;=6.2,P11&gt;5.8),4,IF(AND(P11&lt;=5.8),5)))))</f>
        <v>5</v>
      </c>
      <c r="S11" s="32">
        <v>12.5</v>
      </c>
      <c r="T11" s="40">
        <v>0</v>
      </c>
      <c r="U11" s="30">
        <f>IF(S11=0,"",IF(S11&gt;12,2,IF(AND(S11&lt;=12,S11&gt;11.8),3,IF(AND(S11&lt;=11.8,S11&gt;11.4),4,IF(AND(S11&lt;=11.4),5)))))</f>
        <v>2</v>
      </c>
      <c r="V11" s="32">
        <v>1105</v>
      </c>
      <c r="W11" s="40">
        <v>7</v>
      </c>
      <c r="X11" s="30">
        <f>IF(V11=0,"",IF(V11&lt;900,2,IF(AND(V11&gt;=900,V11&lt;1040),3,IF(AND(V11&gt;=1040,V11&lt;1170),4,IF(AND(V11&gt;=1170),5)))))</f>
        <v>4</v>
      </c>
      <c r="Y11" s="40">
        <f>SUM(N11,Q11,T11,W11)</f>
        <v>30</v>
      </c>
      <c r="Z11" s="30">
        <f>IF(Y11=0,"",IF(Y11&lt;4,2,IF(AND(Y11&gt;=4,Y11&lt;16),3,IF(AND(Y11&gt;=16,Y11&lt;30),4,IF(AND(Y11&gt;=30),5)))))</f>
        <v>5</v>
      </c>
      <c r="AA11" s="41"/>
      <c r="AB11" s="32" t="s">
        <v>23</v>
      </c>
      <c r="AC11" s="29">
        <v>27</v>
      </c>
      <c r="AD11" s="42">
        <v>9</v>
      </c>
      <c r="AE11" s="30">
        <f>IF(AC11=0,"",IF(AC11&lt;18,2,IF(AND(AC11&gt;=18,AC11&lt;24),3,IF(AND(AC11&gt;=24,AC11&lt;28),4,IF(AND(AC11&gt;=28),5)))))</f>
        <v>4</v>
      </c>
      <c r="AF11" s="29">
        <v>9</v>
      </c>
      <c r="AG11" s="42">
        <v>5</v>
      </c>
      <c r="AH11" s="30">
        <f>IF(AF11=0,"",IF(AF11&lt;6,2,IF(AND(AF11&gt;=6,AF11&lt;9),3,IF(AND(AF11&gt;=9,AF11&lt;12),4,IF(AND(AF11&gt;=12),5)))))</f>
        <v>4</v>
      </c>
      <c r="AI11" s="29">
        <v>67</v>
      </c>
      <c r="AJ11" s="42">
        <v>8</v>
      </c>
      <c r="AK11" s="30">
        <f>IF(AI11=0,"",IF(AI11&lt;30,2,IF(AND(AI11&gt;=30,AI11&lt;50),3,IF(AND(AI11&gt;=50,AI11&lt;80),4,IF(AND(AI11&gt;=80),5)))))</f>
        <v>4</v>
      </c>
      <c r="AL11" s="29">
        <v>1</v>
      </c>
      <c r="AM11" s="42">
        <v>0</v>
      </c>
      <c r="AN11" s="30">
        <f>IF(AL11=0,"",IF(AL11&lt;7,2,IF(AND(AL11&gt;=7,AL11&lt;8),3,IF(AND(AL11&gt;=8,AL11&lt;11),4,IF(AND(AL11&gt;=11),5)))))</f>
        <v>2</v>
      </c>
      <c r="AO11" s="29">
        <v>9</v>
      </c>
      <c r="AP11" s="42">
        <v>9</v>
      </c>
      <c r="AQ11" s="30">
        <f>IF(AO11=0,"",IF(AO11&lt;1,2,IF(AND(AO11&gt;=1,AO11&lt;5),3,IF(AND(AO11&gt;=5,AO11&lt;10),4,IF(AND(AO11&gt;=10),5)))))</f>
        <v>4</v>
      </c>
      <c r="AR11" s="29">
        <v>5</v>
      </c>
      <c r="AS11" s="42">
        <v>5</v>
      </c>
      <c r="AT11" s="30">
        <f>IF(AR11=0,"",IF(AR11&lt;1,2,IF(AND(AR11&gt;=1,AR11&lt;5),3,IF(AND(AR11&gt;=5,AR11&lt;10),4,IF(AND(AR11&gt;=10),5)))))</f>
        <v>4</v>
      </c>
      <c r="AU11" s="40">
        <f>SUM(AD11,AG11,AJ11,AM11,AP11,AS11)</f>
        <v>36</v>
      </c>
      <c r="AV11" s="30">
        <f>IF(AU11=0,"",IF(AU11&lt;6,2,IF(AND(AU11&gt;=6,AU11&lt;20),3,IF(AND(AU11&gt;=20,AU11&lt;46),4,IF(AND(AU11&gt;=46),5)))))</f>
        <v>4</v>
      </c>
      <c r="AW11" s="40">
        <f>SUM(Y11,AU11)</f>
        <v>66</v>
      </c>
      <c r="AX11" s="41"/>
      <c r="AY11" s="32" t="s">
        <v>23</v>
      </c>
      <c r="AZ11" s="31"/>
      <c r="BA11" s="344"/>
      <c r="BB11" s="30">
        <v>3</v>
      </c>
      <c r="BC11" s="31"/>
      <c r="BD11" s="344"/>
      <c r="BE11" s="30">
        <v>3</v>
      </c>
      <c r="BF11" s="31">
        <v>14</v>
      </c>
      <c r="BG11" s="344">
        <v>14</v>
      </c>
      <c r="BH11" s="30">
        <f>IF(BF11=0,"",IF(BF11&lt;6,2,IF(AND(BF11&gt;=6,BF11&lt;8),3,IF(AND(BF11&gt;=8,BF11&lt;10),4,IF(AND(BF11&gt;=10),5)))))</f>
        <v>5</v>
      </c>
      <c r="BI11" s="31">
        <v>15</v>
      </c>
      <c r="BJ11" s="344">
        <v>13</v>
      </c>
      <c r="BK11" s="30">
        <f>IF(BI11=0,"",IF(BI11&gt;18.5,2,IF(AND(BI11&lt;=18.5,BI11&gt;17),3,IF(AND(BI11&lt;=17,BI11&gt;16),4,IF(AND(BI11&lt;=16),5)))))</f>
        <v>5</v>
      </c>
      <c r="BL11" s="31">
        <v>6</v>
      </c>
      <c r="BM11" s="344">
        <v>14</v>
      </c>
      <c r="BN11" s="30">
        <f>IF(BL11=0,"",IF(BL11&lt;1,2,IF(AND(BL11&gt;=1,BL11&lt;3),3,IF(AND(BL11&gt;=3,BL11&lt;4),4,IF(AND(BL11&gt;=4),5)))))</f>
        <v>5</v>
      </c>
      <c r="BO11" s="40">
        <f>SUM(BA11,BD11,BG11,BJ11,BM11)</f>
        <v>41</v>
      </c>
      <c r="BP11" s="30">
        <f>IF(BO11=0,"",IF(BO11&lt;5,2,IF(AND(BO11&gt;=5,BO11&lt;17),3,IF(AND(BO11&gt;=17,BO11&lt;40),4,IF(AND(BO11&gt;=40),5)))))</f>
        <v>5</v>
      </c>
      <c r="BQ11" s="40">
        <f>SUM(AW11,BO11)</f>
        <v>107</v>
      </c>
      <c r="BR11" s="41"/>
      <c r="BS11" s="31">
        <v>11.9</v>
      </c>
      <c r="BT11" s="344">
        <v>0</v>
      </c>
      <c r="BU11" s="30">
        <f>IF(BS11=0,"",IF(BS11&gt;11.4,2,IF(AND(BS11&lt;=11.4,BS11&gt;10.8),3,IF(AND(BS11&lt;=10.8,BS11&gt;10.4),4,IF(AND(BS11&lt;=10.4),5)))))</f>
        <v>2</v>
      </c>
      <c r="BV11" s="31">
        <v>12.14</v>
      </c>
      <c r="BW11" s="344">
        <v>0</v>
      </c>
      <c r="BX11" s="30">
        <f>IF(BV11=0,"",IF(BV11&gt;10.3,2,IF(AND(BV11&lt;=10.3,BV11&gt;9.4),3,IF(AND(BV11&lt;=9.4,BV11&gt;9),4,IF(AND(BV11&lt;=9),5)))))</f>
        <v>2</v>
      </c>
      <c r="BY11" s="31">
        <v>16</v>
      </c>
      <c r="BZ11" s="344">
        <v>4</v>
      </c>
      <c r="CA11" s="30">
        <f>IF(BY11=0,"",IF(BY11&lt;14,2,IF(AND(BY11&gt;=14,BY11&lt;17),3,IF(AND(BY11&gt;=17,BY11&lt;21),4,IF(AND(BY11&gt;=21),5)))))</f>
        <v>3</v>
      </c>
      <c r="CB11" s="31">
        <v>4</v>
      </c>
      <c r="CC11" s="344">
        <v>8</v>
      </c>
      <c r="CD11" s="30">
        <f>IF(CB11=0,"",IF(CB11&lt;1,2,IF(AND(CB11&gt;=1,CB11&lt;3),3,IF(AND(CB11&gt;=3,CB11&lt;5),4,IF(AND(CB11&gt;=5),5)))))</f>
        <v>4</v>
      </c>
      <c r="CE11" s="40">
        <f>SUM(BT11,BW11,BZ11,CC11)</f>
        <v>12</v>
      </c>
      <c r="CF11" s="30">
        <f>IF(CE11=0,"",IF(CE11&lt;4,2,IF(AND(CE11&gt;=4,CE11&lt;16),3,IF(AND(CE11&gt;=16,CE11&lt;30),4,IF(AND(CE11&gt;=30),5)))))</f>
        <v>3</v>
      </c>
      <c r="CG11" s="40">
        <f>SUM(BQ11,CE11)</f>
        <v>119</v>
      </c>
      <c r="CH11" s="41"/>
      <c r="CI11" s="32" t="s">
        <v>23</v>
      </c>
    </row>
    <row r="12" spans="1:87">
      <c r="A12" s="3"/>
      <c r="B12" s="32" t="s">
        <v>22</v>
      </c>
      <c r="C12" s="48">
        <v>35847</v>
      </c>
      <c r="D12" s="47" t="s">
        <v>19</v>
      </c>
      <c r="E12" s="32">
        <v>137</v>
      </c>
      <c r="F12" s="32">
        <v>40</v>
      </c>
      <c r="G12" s="45">
        <v>64</v>
      </c>
      <c r="H12" s="3">
        <v>1.117</v>
      </c>
      <c r="I12" s="44">
        <f>F12/(E12/100)^2</f>
        <v>21.311737439394744</v>
      </c>
      <c r="J12" s="43" t="s">
        <v>21</v>
      </c>
      <c r="K12" s="32">
        <f>((E12-F12)*E12)/(H12*2*G12)</f>
        <v>92.94566920322292</v>
      </c>
      <c r="L12" s="32" t="s">
        <v>22</v>
      </c>
      <c r="M12" s="32">
        <v>136</v>
      </c>
      <c r="N12" s="40">
        <v>4</v>
      </c>
      <c r="O12" s="30">
        <f>IF(M12=0,"",IF(M12&lt;130,2,IF(AND(M12&gt;=130,M12&lt;138),3,IF(AND(M12&gt;=138,M12&lt;148),4,IF(AND(M12&gt;=148),5)))))</f>
        <v>3</v>
      </c>
      <c r="P12" s="32">
        <v>5.9</v>
      </c>
      <c r="Q12" s="40">
        <v>9</v>
      </c>
      <c r="R12" s="30">
        <f>IF(P12=0,"",IF(P12&gt;6.6,2,IF(AND(P12&lt;=6.6,P12&gt;6.2),3,IF(AND(P12&lt;=6.2,P12&gt;5.8),4,IF(AND(P12&lt;=5.8),5)))))</f>
        <v>4</v>
      </c>
      <c r="S12" s="32">
        <v>11.9</v>
      </c>
      <c r="T12" s="40">
        <v>3</v>
      </c>
      <c r="U12" s="30">
        <f>IF(S12=0,"",IF(S12&gt;12,2,IF(AND(S12&lt;=12,S12&gt;11.8),3,IF(AND(S12&lt;=11.8,S12&gt;11.4),4,IF(AND(S12&lt;=11.4),5)))))</f>
        <v>3</v>
      </c>
      <c r="V12" s="32">
        <v>1200</v>
      </c>
      <c r="W12" s="40">
        <v>15</v>
      </c>
      <c r="X12" s="30">
        <f>IF(V12=0,"",IF(V12&lt;900,2,IF(AND(V12&gt;=900,V12&lt;1040),3,IF(AND(V12&gt;=1040,V12&lt;1170),4,IF(AND(V12&gt;=1170),5)))))</f>
        <v>5</v>
      </c>
      <c r="Y12" s="40">
        <f>SUM(N12,Q12,T12,W12)</f>
        <v>31</v>
      </c>
      <c r="Z12" s="30">
        <f>IF(Y12=0,"",IF(Y12&lt;4,2,IF(AND(Y12&gt;=4,Y12&lt;16),3,IF(AND(Y12&gt;=16,Y12&lt;30),4,IF(AND(Y12&gt;=30),5)))))</f>
        <v>5</v>
      </c>
      <c r="AA12" s="41"/>
      <c r="AB12" s="32" t="s">
        <v>22</v>
      </c>
      <c r="AC12" s="29">
        <v>25</v>
      </c>
      <c r="AD12" s="42">
        <v>7</v>
      </c>
      <c r="AE12" s="30">
        <f>IF(AC12=0,"",IF(AC12&lt;18,2,IF(AND(AC12&gt;=18,AC12&lt;24),3,IF(AND(AC12&gt;=24,AC12&lt;28),4,IF(AND(AC12&gt;=28),5)))))</f>
        <v>4</v>
      </c>
      <c r="AF12" s="29">
        <v>6</v>
      </c>
      <c r="AG12" s="42">
        <v>1</v>
      </c>
      <c r="AH12" s="30">
        <f>IF(AF12=0,"",IF(AF12&lt;6,2,IF(AND(AF12&gt;=6,AF12&lt;9),3,IF(AND(AF12&gt;=9,AF12&lt;12),4,IF(AND(AF12&gt;=12),5)))))</f>
        <v>3</v>
      </c>
      <c r="AI12" s="29">
        <v>66</v>
      </c>
      <c r="AJ12" s="42">
        <v>8</v>
      </c>
      <c r="AK12" s="30">
        <f>IF(AI12=0,"",IF(AI12&lt;30,2,IF(AND(AI12&gt;=30,AI12&lt;50),3,IF(AND(AI12&gt;=50,AI12&lt;80),4,IF(AND(AI12&gt;=80),5)))))</f>
        <v>4</v>
      </c>
      <c r="AL12" s="29">
        <v>4</v>
      </c>
      <c r="AM12" s="42">
        <v>0</v>
      </c>
      <c r="AN12" s="30">
        <f>IF(AL12=0,"",IF(AL12&lt;7,2,IF(AND(AL12&gt;=7,AL12&lt;8),3,IF(AND(AL12&gt;=8,AL12&lt;11),4,IF(AND(AL12&gt;=11),5)))))</f>
        <v>2</v>
      </c>
      <c r="AO12" s="29">
        <v>8</v>
      </c>
      <c r="AP12" s="42">
        <v>8</v>
      </c>
      <c r="AQ12" s="30">
        <f>IF(AO12=0,"",IF(AO12&lt;1,2,IF(AND(AO12&gt;=1,AO12&lt;5),3,IF(AND(AO12&gt;=5,AO12&lt;10),4,IF(AND(AO12&gt;=10),5)))))</f>
        <v>4</v>
      </c>
      <c r="AR12" s="29">
        <v>8</v>
      </c>
      <c r="AS12" s="42">
        <v>8</v>
      </c>
      <c r="AT12" s="30">
        <f>IF(AR12=0,"",IF(AR12&lt;1,2,IF(AND(AR12&gt;=1,AR12&lt;5),3,IF(AND(AR12&gt;=5,AR12&lt;10),4,IF(AND(AR12&gt;=10),5)))))</f>
        <v>4</v>
      </c>
      <c r="AU12" s="40">
        <f>SUM(AD12,AG12,AJ12,AM12,AP12,AS12)</f>
        <v>32</v>
      </c>
      <c r="AV12" s="30">
        <f>IF(AU12=0,"",IF(AU12&lt;6,2,IF(AND(AU12&gt;=6,AU12&lt;20),3,IF(AND(AU12&gt;=20,AU12&lt;46),4,IF(AND(AU12&gt;=46),5)))))</f>
        <v>4</v>
      </c>
      <c r="AW12" s="40">
        <f>SUM(Y12,AU12)</f>
        <v>63</v>
      </c>
      <c r="AX12" s="41"/>
      <c r="AY12" s="32" t="s">
        <v>22</v>
      </c>
      <c r="AZ12" s="31">
        <v>13.21</v>
      </c>
      <c r="BA12" s="344">
        <v>1</v>
      </c>
      <c r="BB12" s="30">
        <v>3</v>
      </c>
      <c r="BC12" s="31"/>
      <c r="BD12" s="344">
        <v>0</v>
      </c>
      <c r="BE12" s="30"/>
      <c r="BF12" s="31">
        <v>8</v>
      </c>
      <c r="BG12" s="344">
        <v>5</v>
      </c>
      <c r="BH12" s="30">
        <f>IF(BF12=0,"",IF(BF12&lt;6,2,IF(AND(BF12&gt;=6,BF12&lt;8),3,IF(AND(BF12&gt;=8,BF12&lt;10),4,IF(AND(BF12&gt;=10),5)))))</f>
        <v>4</v>
      </c>
      <c r="BI12" s="31">
        <v>16.7</v>
      </c>
      <c r="BJ12" s="344">
        <v>6</v>
      </c>
      <c r="BK12" s="30">
        <f>IF(BI12=0,"",IF(BI12&gt;18.5,2,IF(AND(BI12&lt;=18.5,BI12&gt;17),3,IF(AND(BI12&lt;=17,BI12&gt;16),4,IF(AND(BI12&lt;=16),5)))))</f>
        <v>4</v>
      </c>
      <c r="BL12" s="31">
        <v>4</v>
      </c>
      <c r="BM12" s="344">
        <v>10</v>
      </c>
      <c r="BN12" s="30">
        <f>IF(BL12=0,"",IF(BL12&lt;1,2,IF(AND(BL12&gt;=1,BL12&lt;3),3,IF(AND(BL12&gt;=3,BL12&lt;4),4,IF(AND(BL12&gt;=4),5)))))</f>
        <v>5</v>
      </c>
      <c r="BO12" s="40">
        <f>SUM(BA12,BD12,BG12,BJ12,BM12)</f>
        <v>22</v>
      </c>
      <c r="BP12" s="30">
        <f>IF(BO12=0,"",IF(BO12&lt;5,2,IF(AND(BO12&gt;=5,BO12&lt;17),3,IF(AND(BO12&gt;=17,BO12&lt;40),4,IF(AND(BO12&gt;=40),5)))))</f>
        <v>4</v>
      </c>
      <c r="BQ12" s="40">
        <f>SUM(AW12,BO12)</f>
        <v>85</v>
      </c>
      <c r="BR12" s="41"/>
      <c r="BS12" s="31">
        <v>12.4</v>
      </c>
      <c r="BT12" s="344">
        <v>0</v>
      </c>
      <c r="BU12" s="30">
        <f>IF(BS12=0,"",IF(BS12&gt;11.4,2,IF(AND(BS12&lt;=11.4,BS12&gt;10.8),3,IF(AND(BS12&lt;=10.8,BS12&gt;10.4),4,IF(AND(BS12&lt;=10.4),5)))))</f>
        <v>2</v>
      </c>
      <c r="BV12" s="31">
        <v>9.52</v>
      </c>
      <c r="BW12" s="344">
        <v>3</v>
      </c>
      <c r="BX12" s="30">
        <f>IF(BV12=0,"",IF(BV12&gt;10.3,2,IF(AND(BV12&lt;=10.3,BV12&gt;9.4),3,IF(AND(BV12&lt;=9.4,BV12&gt;9),4,IF(AND(BV12&lt;=9),5)))))</f>
        <v>3</v>
      </c>
      <c r="BY12" s="31">
        <v>14</v>
      </c>
      <c r="BZ12" s="344">
        <v>1</v>
      </c>
      <c r="CA12" s="30">
        <f>IF(BY12=0,"",IF(BY12&lt;14,2,IF(AND(BY12&gt;=14,BY12&lt;17),3,IF(AND(BY12&gt;=17,BY12&lt;21),4,IF(AND(BY12&gt;=21),5)))))</f>
        <v>3</v>
      </c>
      <c r="CB12" s="31">
        <v>11</v>
      </c>
      <c r="CC12" s="344">
        <v>20</v>
      </c>
      <c r="CD12" s="30">
        <f>IF(CB12=0,"",IF(CB12&lt;1,2,IF(AND(CB12&gt;=1,CB12&lt;3),3,IF(AND(CB12&gt;=3,CB12&lt;5),4,IF(AND(CB12&gt;=5),5)))))</f>
        <v>5</v>
      </c>
      <c r="CE12" s="40">
        <f>SUM(BT12,BW12,BZ12,CC12)</f>
        <v>24</v>
      </c>
      <c r="CF12" s="30">
        <f>IF(CE12=0,"",IF(CE12&lt;4,2,IF(AND(CE12&gt;=4,CE12&lt;16),3,IF(AND(CE12&gt;=16,CE12&lt;30),4,IF(AND(CE12&gt;=30),5)))))</f>
        <v>4</v>
      </c>
      <c r="CG12" s="40">
        <f>SUM(BQ12,CE12)</f>
        <v>109</v>
      </c>
      <c r="CH12" s="41"/>
      <c r="CI12" s="32" t="s">
        <v>22</v>
      </c>
    </row>
    <row r="13" spans="1:87">
      <c r="A13" s="3"/>
      <c r="B13" s="32" t="s">
        <v>20</v>
      </c>
      <c r="C13" s="48">
        <v>35498</v>
      </c>
      <c r="D13" s="47" t="s">
        <v>19</v>
      </c>
      <c r="E13" s="46">
        <v>145</v>
      </c>
      <c r="F13" s="46">
        <v>50</v>
      </c>
      <c r="G13" s="257">
        <v>76</v>
      </c>
      <c r="H13" s="104">
        <v>1.1499999999999999</v>
      </c>
      <c r="I13" s="258">
        <f>F13/(E13/100)^2</f>
        <v>23.781212841854934</v>
      </c>
      <c r="J13" s="43" t="s">
        <v>21</v>
      </c>
      <c r="K13" s="32">
        <f>((E13-F13)*E13)/(H13*2*G13)</f>
        <v>78.804347826086968</v>
      </c>
      <c r="L13" s="32" t="s">
        <v>20</v>
      </c>
      <c r="M13" s="32">
        <v>122</v>
      </c>
      <c r="N13" s="40">
        <v>0</v>
      </c>
      <c r="O13" s="30">
        <f>IF(M13=0,"",IF(M13&lt;130,2,IF(AND(M13&gt;=130,M13&lt;138),3,IF(AND(M13&gt;=138,M13&lt;148),4,IF(AND(M13&gt;=148),5)))))</f>
        <v>2</v>
      </c>
      <c r="P13" s="32">
        <v>6</v>
      </c>
      <c r="Q13" s="40">
        <v>8</v>
      </c>
      <c r="R13" s="30">
        <f>IF(P13=0,"",IF(P13&gt;6.6,2,IF(AND(P13&lt;=6.6,P13&gt;6.2),3,IF(AND(P13&lt;=6.2,P13&gt;5.8),4,IF(AND(P13&lt;=5.8),5)))))</f>
        <v>4</v>
      </c>
      <c r="S13" s="32">
        <v>11.5</v>
      </c>
      <c r="T13" s="40">
        <v>9</v>
      </c>
      <c r="U13" s="30">
        <f>IF(S13=0,"",IF(S13&gt;12,2,IF(AND(S13&lt;=12,S13&gt;11.8),3,IF(AND(S13&lt;=11.8,S13&gt;11.4),4,IF(AND(S13&lt;=11.4),5)))))</f>
        <v>4</v>
      </c>
      <c r="V13" s="32">
        <v>1000</v>
      </c>
      <c r="W13" s="40">
        <v>3</v>
      </c>
      <c r="X13" s="30">
        <f>IF(V13=0,"",IF(V13&lt;900,2,IF(AND(V13&gt;=900,V13&lt;1040),3,IF(AND(V13&gt;=1040,V13&lt;1170),4,IF(AND(V13&gt;=1170),5)))))</f>
        <v>3</v>
      </c>
      <c r="Y13" s="40">
        <f>SUM(N13,Q13,T13,W13)</f>
        <v>20</v>
      </c>
      <c r="Z13" s="30">
        <f>IF(Y13=0,"",IF(Y13&lt;4,2,IF(AND(Y13&gt;=4,Y13&lt;16),3,IF(AND(Y13&gt;=16,Y13&lt;30),4,IF(AND(Y13&gt;=30),5)))))</f>
        <v>4</v>
      </c>
      <c r="AA13" s="41"/>
      <c r="AB13" s="32" t="s">
        <v>20</v>
      </c>
      <c r="AC13" s="29">
        <v>29</v>
      </c>
      <c r="AD13" s="42">
        <v>12</v>
      </c>
      <c r="AE13" s="30">
        <f>IF(AC13=0,"",IF(AC13&lt;18,2,IF(AND(AC13&gt;=18,AC13&lt;24),3,IF(AND(AC13&gt;=24,AC13&lt;28),4,IF(AND(AC13&gt;=28),5)))))</f>
        <v>5</v>
      </c>
      <c r="AF13" s="29">
        <v>10</v>
      </c>
      <c r="AG13" s="42">
        <v>7</v>
      </c>
      <c r="AH13" s="30">
        <f>IF(AF13=0,"",IF(AF13&lt;6,2,IF(AND(AF13&gt;=6,AF13&lt;9),3,IF(AND(AF13&gt;=9,AF13&lt;12),4,IF(AND(AF13&gt;=12),5)))))</f>
        <v>4</v>
      </c>
      <c r="AI13" s="29">
        <v>46</v>
      </c>
      <c r="AJ13" s="42">
        <v>4</v>
      </c>
      <c r="AK13" s="30">
        <f>IF(AI13=0,"",IF(AI13&lt;30,2,IF(AND(AI13&gt;=30,AI13&lt;50),3,IF(AND(AI13&gt;=50,AI13&lt;80),4,IF(AND(AI13&gt;=80),5)))))</f>
        <v>3</v>
      </c>
      <c r="AL13" s="29">
        <v>1</v>
      </c>
      <c r="AM13" s="42">
        <v>0</v>
      </c>
      <c r="AN13" s="30">
        <f>IF(AL13=0,"",IF(AL13&lt;7,2,IF(AND(AL13&gt;=7,AL13&lt;8),3,IF(AND(AL13&gt;=8,AL13&lt;11),4,IF(AND(AL13&gt;=11),5)))))</f>
        <v>2</v>
      </c>
      <c r="AO13" s="29">
        <v>5</v>
      </c>
      <c r="AP13" s="42">
        <v>5</v>
      </c>
      <c r="AQ13" s="30">
        <f>IF(AO13=0,"",IF(AO13&lt;1,2,IF(AND(AO13&gt;=1,AO13&lt;5),3,IF(AND(AO13&gt;=5,AO13&lt;10),4,IF(AND(AO13&gt;=10),5)))))</f>
        <v>4</v>
      </c>
      <c r="AR13" s="29">
        <v>5</v>
      </c>
      <c r="AS13" s="42">
        <v>5</v>
      </c>
      <c r="AT13" s="30">
        <f>IF(AR13=0,"",IF(AR13&lt;1,2,IF(AND(AR13&gt;=1,AR13&lt;5),3,IF(AND(AR13&gt;=5,AR13&lt;10),4,IF(AND(AR13&gt;=10),5)))))</f>
        <v>4</v>
      </c>
      <c r="AU13" s="40">
        <f>SUM(AD13,AG13,AJ13,AM13,AP13,AS13)</f>
        <v>33</v>
      </c>
      <c r="AV13" s="30">
        <f>IF(AU13=0,"",IF(AU13&lt;6,2,IF(AND(AU13&gt;=6,AU13&lt;20),3,IF(AND(AU13&gt;=20,AU13&lt;46),4,IF(AND(AU13&gt;=46),5)))))</f>
        <v>4</v>
      </c>
      <c r="AW13" s="40">
        <f>SUM(Y13,AU13)</f>
        <v>53</v>
      </c>
      <c r="AX13" s="41"/>
      <c r="AY13" s="32" t="s">
        <v>20</v>
      </c>
      <c r="AZ13" s="31"/>
      <c r="BA13" s="344"/>
      <c r="BB13" s="30">
        <v>3</v>
      </c>
      <c r="BC13" s="31"/>
      <c r="BD13" s="344"/>
      <c r="BE13" s="30">
        <v>3</v>
      </c>
      <c r="BF13" s="31">
        <v>6</v>
      </c>
      <c r="BG13" s="344">
        <v>1</v>
      </c>
      <c r="BH13" s="30">
        <f>IF(BF13=0,"",IF(BF13&lt;6,2,IF(AND(BF13&gt;=6,BF13&lt;8),3,IF(AND(BF13&gt;=8,BF13&lt;10),4,IF(AND(BF13&gt;=10),5)))))</f>
        <v>3</v>
      </c>
      <c r="BI13" s="31">
        <v>17.2</v>
      </c>
      <c r="BJ13" s="344">
        <v>4</v>
      </c>
      <c r="BK13" s="30">
        <f>IF(BI13=0,"",IF(BI13&gt;18.5,2,IF(AND(BI13&lt;=18.5,BI13&gt;17),3,IF(AND(BI13&lt;=17,BI13&gt;16),4,IF(AND(BI13&lt;=16),5)))))</f>
        <v>3</v>
      </c>
      <c r="BL13" s="31">
        <v>5</v>
      </c>
      <c r="BM13" s="344">
        <v>12</v>
      </c>
      <c r="BN13" s="30">
        <f>IF(BL13=0,"",IF(BL13&lt;1,2,IF(AND(BL13&gt;=1,BL13&lt;3),3,IF(AND(BL13&gt;=3,BL13&lt;4),4,IF(AND(BL13&gt;=4),5)))))</f>
        <v>5</v>
      </c>
      <c r="BO13" s="40">
        <f>SUM(BA13,BD13,BG13,BJ13,BM13)</f>
        <v>17</v>
      </c>
      <c r="BP13" s="30">
        <f>IF(BO13=0,"",IF(BO13&lt;5,2,IF(AND(BO13&gt;=5,BO13&lt;17),3,IF(AND(BO13&gt;=17,BO13&lt;40),4,IF(AND(BO13&gt;=40),5)))))</f>
        <v>4</v>
      </c>
      <c r="BQ13" s="40">
        <f>SUM(AW13,BO13)</f>
        <v>70</v>
      </c>
      <c r="BR13" s="41"/>
      <c r="BS13" s="31">
        <v>13.4</v>
      </c>
      <c r="BT13" s="344">
        <v>0</v>
      </c>
      <c r="BU13" s="30">
        <f>IF(BS13=0,"",IF(BS13&gt;11.4,2,IF(AND(BS13&lt;=11.4,BS13&gt;10.8),3,IF(AND(BS13&lt;=10.8,BS13&gt;10.4),4,IF(AND(BS13&lt;=10.4),5)))))</f>
        <v>2</v>
      </c>
      <c r="BV13" s="31">
        <v>12.27</v>
      </c>
      <c r="BW13" s="344">
        <v>0</v>
      </c>
      <c r="BX13" s="30">
        <f>IF(BV13=0,"",IF(BV13&gt;10.3,2,IF(AND(BV13&lt;=10.3,BV13&gt;9.4),3,IF(AND(BV13&lt;=9.4,BV13&gt;9),4,IF(AND(BV13&lt;=9),5)))))</f>
        <v>2</v>
      </c>
      <c r="BY13" s="31">
        <v>16</v>
      </c>
      <c r="BZ13" s="344">
        <v>4</v>
      </c>
      <c r="CA13" s="30">
        <f>IF(BY13=0,"",IF(BY13&lt;14,2,IF(AND(BY13&gt;=14,BY13&lt;17),3,IF(AND(BY13&gt;=17,BY13&lt;21),4,IF(AND(BY13&gt;=21),5)))))</f>
        <v>3</v>
      </c>
      <c r="CB13" s="31">
        <v>1</v>
      </c>
      <c r="CC13" s="344">
        <v>1</v>
      </c>
      <c r="CD13" s="30">
        <f>IF(CB13=0,"",IF(CB13&lt;1,2,IF(AND(CB13&gt;=1,CB13&lt;3),3,IF(AND(CB13&gt;=3,CB13&lt;5),4,IF(AND(CB13&gt;=5),5)))))</f>
        <v>3</v>
      </c>
      <c r="CE13" s="40">
        <f>SUM(BT13,BW13,BZ13,CC13)</f>
        <v>5</v>
      </c>
      <c r="CF13" s="30">
        <f>IF(CE13=0,"",IF(CE13&lt;4,2,IF(AND(CE13&gt;=4,CE13&lt;16),3,IF(AND(CE13&gt;=16,CE13&lt;30),4,IF(AND(CE13&gt;=30),5)))))</f>
        <v>3</v>
      </c>
      <c r="CG13" s="40">
        <f>SUM(BQ13,CE13)</f>
        <v>75</v>
      </c>
      <c r="CH13" s="41"/>
      <c r="CI13" s="32" t="s">
        <v>20</v>
      </c>
    </row>
    <row r="14" spans="1:87">
      <c r="A14" s="315"/>
      <c r="B14" s="315"/>
      <c r="C14" s="315"/>
      <c r="D14" s="315"/>
      <c r="G14" s="251"/>
      <c r="H14" s="259"/>
      <c r="I14" s="251"/>
      <c r="L14" s="38"/>
      <c r="M14" s="36"/>
      <c r="N14" s="36"/>
      <c r="O14" s="36"/>
      <c r="P14" s="36"/>
      <c r="Q14" s="36"/>
      <c r="R14" s="36"/>
      <c r="S14" s="36"/>
      <c r="T14" s="36"/>
      <c r="U14" s="37"/>
      <c r="V14" s="36"/>
      <c r="W14" s="36"/>
      <c r="X14" s="36"/>
      <c r="Y14" s="36"/>
      <c r="Z14" s="36"/>
      <c r="AA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</row>
    <row r="15" spans="1:87">
      <c r="A15" s="315"/>
      <c r="B15" s="316"/>
      <c r="C15" s="317" t="s">
        <v>19</v>
      </c>
      <c r="D15" s="318">
        <f>COUNTIF(D3:D13,"осн.")</f>
        <v>10</v>
      </c>
      <c r="E15" s="249"/>
      <c r="F15" s="217"/>
      <c r="G15" s="217"/>
      <c r="H15" s="217"/>
      <c r="I15" s="217"/>
      <c r="J15" s="217"/>
      <c r="K15" s="228"/>
      <c r="L15" s="106" t="s">
        <v>18</v>
      </c>
      <c r="M15" s="32"/>
      <c r="N15" s="32"/>
      <c r="O15" s="30">
        <f>AVERAGE(O3:O13)</f>
        <v>4</v>
      </c>
      <c r="P15" s="32"/>
      <c r="Q15" s="32"/>
      <c r="R15" s="30">
        <f>AVERAGE(R3:R13)</f>
        <v>4.8</v>
      </c>
      <c r="S15" s="32"/>
      <c r="T15" s="32"/>
      <c r="U15" s="33">
        <f>AVERAGE(U3:U13)</f>
        <v>4.2</v>
      </c>
      <c r="V15" s="32"/>
      <c r="W15" s="32"/>
      <c r="X15" s="30">
        <f>AVERAGE(X3:X13)</f>
        <v>4.7</v>
      </c>
      <c r="Y15" s="32"/>
      <c r="Z15" s="30">
        <f>AVERAGE(O15:X15)</f>
        <v>4.4249999999999998</v>
      </c>
      <c r="AA15" s="30"/>
      <c r="AB15" s="32" t="s">
        <v>18</v>
      </c>
      <c r="AC15" s="31"/>
      <c r="AD15" s="31"/>
      <c r="AE15" s="30">
        <f>AVERAGE(AE3:AE13)</f>
        <v>4.7</v>
      </c>
      <c r="AF15" s="31"/>
      <c r="AG15" s="31"/>
      <c r="AH15" s="30">
        <f>AVERAGE(AH3:AH13)</f>
        <v>3.3</v>
      </c>
      <c r="AI15" s="31"/>
      <c r="AJ15" s="31"/>
      <c r="AK15" s="30">
        <f>AVERAGE(AK3:AK13)</f>
        <v>4.5999999999999996</v>
      </c>
      <c r="AL15" s="31"/>
      <c r="AM15" s="31"/>
      <c r="AN15" s="30">
        <f>AVERAGE(AN3:AN13)</f>
        <v>3.3</v>
      </c>
      <c r="AO15" s="31"/>
      <c r="AP15" s="31"/>
      <c r="AQ15" s="30">
        <f>AVERAGE(AQ3:AQ13)</f>
        <v>4.5999999999999996</v>
      </c>
      <c r="AR15" s="31"/>
      <c r="AS15" s="31"/>
      <c r="AT15" s="30">
        <f>AVERAGE(AT3:AT13)</f>
        <v>4.666666666666667</v>
      </c>
      <c r="AU15" s="31"/>
      <c r="AV15" s="30">
        <f>AVERAGE(AE15:AT15)</f>
        <v>4.1944444444444446</v>
      </c>
      <c r="AW15" s="29"/>
      <c r="AX15" s="29"/>
      <c r="AY15" s="29" t="s">
        <v>18</v>
      </c>
      <c r="AZ15" s="31"/>
      <c r="BA15" s="31"/>
      <c r="BB15" s="30">
        <f>AVERAGE(BB3:BB13)</f>
        <v>2.75</v>
      </c>
      <c r="BC15" s="31"/>
      <c r="BD15" s="31"/>
      <c r="BE15" s="30">
        <f>AVERAGE(BE3:BE13)</f>
        <v>2.7142857142857144</v>
      </c>
      <c r="BF15" s="31"/>
      <c r="BG15" s="31"/>
      <c r="BH15" s="30">
        <f>AVERAGE(BH3:BH13)</f>
        <v>4.7</v>
      </c>
      <c r="BI15" s="31"/>
      <c r="BJ15" s="31"/>
      <c r="BK15" s="30">
        <f>AVERAGE(BK3:BK13)</f>
        <v>4.5555555555555554</v>
      </c>
      <c r="BL15" s="31"/>
      <c r="BM15" s="31"/>
      <c r="BN15" s="30">
        <f>AVERAGE(BN3:BN13)</f>
        <v>5</v>
      </c>
      <c r="BO15" s="31"/>
      <c r="BP15" s="30">
        <f>AVERAGE(BB15:BN15)</f>
        <v>3.9439682539682535</v>
      </c>
      <c r="BQ15" s="31"/>
      <c r="BR15" s="31"/>
      <c r="BS15" s="31"/>
      <c r="BT15" s="31"/>
      <c r="BU15" s="30">
        <f>AVERAGE(BU3:BU13)</f>
        <v>3.8</v>
      </c>
      <c r="BV15" s="31"/>
      <c r="BW15" s="31"/>
      <c r="BX15" s="30">
        <f>AVERAGE(BX3:BX13)</f>
        <v>3.6</v>
      </c>
      <c r="BY15" s="31"/>
      <c r="BZ15" s="31"/>
      <c r="CA15" s="30">
        <f>AVERAGE(CA3:CA13)</f>
        <v>4.2222222222222223</v>
      </c>
      <c r="CB15" s="31"/>
      <c r="CC15" s="31"/>
      <c r="CD15" s="30">
        <f>AVERAGE(CD3:CD13)</f>
        <v>4.7</v>
      </c>
      <c r="CE15" s="31"/>
      <c r="CF15" s="30">
        <f>AVERAGE(BU15:CD15)</f>
        <v>4.0805555555555557</v>
      </c>
      <c r="CG15" s="30">
        <f>AVERAGE(Z15,AV15,BP15,CF15)</f>
        <v>4.1609920634920634</v>
      </c>
      <c r="CH15" s="30"/>
      <c r="CI15" s="29" t="s">
        <v>18</v>
      </c>
    </row>
    <row r="16" spans="1:87">
      <c r="A16" s="315"/>
      <c r="B16" s="315"/>
      <c r="C16" s="315"/>
      <c r="D16" s="315"/>
      <c r="K16" s="256"/>
      <c r="L16" s="28"/>
      <c r="Y16" s="27" t="s">
        <v>17</v>
      </c>
      <c r="Z16" s="27"/>
    </row>
    <row r="17" spans="1:86">
      <c r="A17" s="315"/>
      <c r="B17" s="319" t="s">
        <v>16</v>
      </c>
      <c r="C17" s="320"/>
      <c r="D17" s="320"/>
      <c r="K17" s="17"/>
      <c r="L17" s="17"/>
      <c r="Y17" s="25" t="s">
        <v>15</v>
      </c>
      <c r="Z17" s="24">
        <v>10</v>
      </c>
      <c r="AU17" s="25" t="s">
        <v>15</v>
      </c>
      <c r="AV17" s="24">
        <v>10</v>
      </c>
      <c r="BO17" s="25" t="s">
        <v>15</v>
      </c>
      <c r="BP17" s="24">
        <v>10</v>
      </c>
      <c r="CE17" s="25" t="s">
        <v>15</v>
      </c>
      <c r="CF17" s="24">
        <v>10</v>
      </c>
    </row>
    <row r="18" spans="1:86">
      <c r="A18" s="315"/>
      <c r="B18" s="321"/>
      <c r="C18" s="321"/>
      <c r="D18" s="315"/>
      <c r="K18" s="17"/>
      <c r="L18" s="17"/>
      <c r="Y18" s="22" t="s">
        <v>14</v>
      </c>
      <c r="Z18" s="13">
        <f>COUNTIF(Z3:Z13,5)</f>
        <v>9</v>
      </c>
      <c r="AU18" s="22" t="s">
        <v>14</v>
      </c>
      <c r="AV18" s="13">
        <f>COUNTIF(AV3:AV13,5)</f>
        <v>6</v>
      </c>
      <c r="BO18" s="22" t="s">
        <v>14</v>
      </c>
      <c r="BP18" s="13">
        <f>COUNTIF(BP3:BP13,5)</f>
        <v>6</v>
      </c>
      <c r="CE18" s="22" t="s">
        <v>14</v>
      </c>
      <c r="CF18" s="13">
        <f>COUNTIF(CF3:CF13,5)</f>
        <v>6</v>
      </c>
    </row>
    <row r="19" spans="1:86">
      <c r="A19" s="315"/>
      <c r="B19" s="21" t="s">
        <v>13</v>
      </c>
      <c r="C19" s="20">
        <v>10</v>
      </c>
      <c r="D19" s="19" t="s">
        <v>4</v>
      </c>
      <c r="K19" s="17"/>
      <c r="L19" s="17"/>
      <c r="Y19" s="18" t="s">
        <v>12</v>
      </c>
      <c r="Z19" s="13">
        <f>COUNTIF(Z3:Z13,4)</f>
        <v>1</v>
      </c>
      <c r="AU19" s="18" t="s">
        <v>12</v>
      </c>
      <c r="AV19" s="13">
        <f>COUNTIF(AV3:AV13,4)</f>
        <v>4</v>
      </c>
      <c r="BO19" s="18" t="s">
        <v>12</v>
      </c>
      <c r="BP19" s="13">
        <f>COUNTIF(BP3:BP13,4)</f>
        <v>4</v>
      </c>
      <c r="CE19" s="18" t="s">
        <v>12</v>
      </c>
      <c r="CF19" s="13">
        <f>COUNTIF(CF3:CF13,4)</f>
        <v>2</v>
      </c>
    </row>
    <row r="20" spans="1:86">
      <c r="A20" s="315"/>
      <c r="B20" s="2" t="s">
        <v>11</v>
      </c>
      <c r="C20" s="2">
        <f>COUNTIF(J3:J13,"деф.массы")</f>
        <v>0</v>
      </c>
      <c r="D20" s="2">
        <f>C20*100/C19</f>
        <v>0</v>
      </c>
      <c r="K20" s="17"/>
      <c r="L20" s="17"/>
      <c r="Y20" s="16" t="s">
        <v>10</v>
      </c>
      <c r="Z20" s="13">
        <f>COUNTIF(Z3:Z13,3)</f>
        <v>0</v>
      </c>
      <c r="AU20" s="16" t="s">
        <v>10</v>
      </c>
      <c r="AV20" s="13">
        <f>COUNTIF(AV3:AV13,3)</f>
        <v>0</v>
      </c>
      <c r="BO20" s="16" t="s">
        <v>10</v>
      </c>
      <c r="BP20" s="13">
        <f>COUNTIF(BP3:BP13,3)</f>
        <v>0</v>
      </c>
      <c r="CE20" s="16" t="s">
        <v>10</v>
      </c>
      <c r="CF20" s="13">
        <f>COUNTIF(CF3:CF13,3)</f>
        <v>2</v>
      </c>
    </row>
    <row r="21" spans="1:86">
      <c r="A21" s="315"/>
      <c r="B21" s="15" t="s">
        <v>9</v>
      </c>
      <c r="C21" s="2">
        <f>COUNTIF(J3:J13,"гарм.(-)")</f>
        <v>2</v>
      </c>
      <c r="D21" s="359">
        <f>(C21+C22+C23)*100/C19</f>
        <v>80</v>
      </c>
      <c r="Y21" s="14" t="s">
        <v>8</v>
      </c>
      <c r="Z21" s="13">
        <f>COUNTIF(Z3:Z13,2)</f>
        <v>0</v>
      </c>
      <c r="AU21" s="14" t="s">
        <v>8</v>
      </c>
      <c r="AV21" s="13">
        <f>COUNTIF(AV3:AV13,2)</f>
        <v>0</v>
      </c>
      <c r="BO21" s="14" t="s">
        <v>8</v>
      </c>
      <c r="BP21" s="13">
        <f>COUNTIF(BP3:BP13,2)</f>
        <v>0</v>
      </c>
      <c r="CE21" s="14" t="s">
        <v>8</v>
      </c>
      <c r="CF21" s="13">
        <f>COUNTIF(CF3:CF13,2)</f>
        <v>0</v>
      </c>
    </row>
    <row r="22" spans="1:86">
      <c r="A22" s="315"/>
      <c r="B22" s="12" t="s">
        <v>7</v>
      </c>
      <c r="C22" s="2">
        <f>COUNTIF(J3:J13,"гармонич.")</f>
        <v>5</v>
      </c>
      <c r="D22" s="360"/>
      <c r="Y22" s="11" t="s">
        <v>6</v>
      </c>
      <c r="Z22" s="10">
        <f>COUNTIF(Z3:Z13,"осв.")</f>
        <v>0</v>
      </c>
      <c r="AU22" s="11" t="s">
        <v>6</v>
      </c>
      <c r="AV22" s="10">
        <f>COUNTIF(AV3:AV13,"осв.")</f>
        <v>0</v>
      </c>
      <c r="BO22" s="11" t="s">
        <v>6</v>
      </c>
      <c r="BP22" s="10">
        <f>COUNTIF(BP3:BP13,"осв.")</f>
        <v>0</v>
      </c>
      <c r="CE22" s="11" t="s">
        <v>6</v>
      </c>
      <c r="CF22" s="10">
        <f>COUNTIF(CF3:CF13,"осв.")</f>
        <v>0</v>
      </c>
    </row>
    <row r="23" spans="1:86">
      <c r="A23" s="315"/>
      <c r="B23" s="9" t="s">
        <v>5</v>
      </c>
      <c r="C23" s="2">
        <f>COUNTIF(J3:J13,"гарм.(+)")</f>
        <v>1</v>
      </c>
      <c r="D23" s="361"/>
      <c r="Y23" s="8"/>
      <c r="Z23" s="7" t="s">
        <v>4</v>
      </c>
      <c r="AU23" s="8"/>
      <c r="AV23" s="7" t="s">
        <v>4</v>
      </c>
      <c r="BO23" s="8"/>
      <c r="BP23" s="7" t="s">
        <v>4</v>
      </c>
      <c r="CE23" s="8"/>
      <c r="CF23" s="7" t="s">
        <v>4</v>
      </c>
    </row>
    <row r="24" spans="1:86">
      <c r="A24" s="315"/>
      <c r="B24" s="6" t="s">
        <v>3</v>
      </c>
      <c r="C24" s="2">
        <f>COUNTIF(J3:J13,"тучное")</f>
        <v>2</v>
      </c>
      <c r="D24" s="2">
        <f>C24*100/C19</f>
        <v>20</v>
      </c>
      <c r="Y24" s="3" t="s">
        <v>2</v>
      </c>
      <c r="Z24" s="2">
        <f>AA24*100/Z17</f>
        <v>40</v>
      </c>
      <c r="AA24" s="5">
        <v>4</v>
      </c>
      <c r="AB24" s="4"/>
      <c r="AU24" s="3" t="s">
        <v>2</v>
      </c>
      <c r="AV24" s="133">
        <f>AX24*100/AV17</f>
        <v>10</v>
      </c>
      <c r="AW24" s="229"/>
      <c r="AX24" s="132">
        <f>COUNTIF(AX3:AX13,5)</f>
        <v>1</v>
      </c>
      <c r="BO24" s="3" t="s">
        <v>2</v>
      </c>
      <c r="BP24" s="2">
        <f>BR24*100/BP17</f>
        <v>0</v>
      </c>
      <c r="BQ24" s="225"/>
      <c r="BR24" s="5">
        <v>0</v>
      </c>
      <c r="BS24" s="5"/>
      <c r="CE24" s="3" t="s">
        <v>2</v>
      </c>
      <c r="CF24" s="2">
        <f>CH24*100/CF17</f>
        <v>20</v>
      </c>
      <c r="CG24" s="225"/>
      <c r="CH24" s="5">
        <v>2</v>
      </c>
    </row>
    <row r="25" spans="1:86">
      <c r="A25" s="315"/>
      <c r="B25" s="322"/>
      <c r="C25" s="315"/>
      <c r="D25" s="315"/>
      <c r="Y25" s="3" t="s">
        <v>1</v>
      </c>
      <c r="Z25" s="2">
        <f>(Z18+Z19+Z22)/Z17*100</f>
        <v>100</v>
      </c>
      <c r="AU25" s="3" t="s">
        <v>1</v>
      </c>
      <c r="AV25" s="2">
        <f>(AV18+AV19+AV22)/AV17*100</f>
        <v>100</v>
      </c>
      <c r="BO25" s="3" t="s">
        <v>1</v>
      </c>
      <c r="BP25" s="2">
        <f>(BP18+BP19+BP22)/BP17*100</f>
        <v>100</v>
      </c>
      <c r="CE25" s="3" t="s">
        <v>1</v>
      </c>
      <c r="CF25" s="2">
        <f>(CF18+CF19+CF22)/CF17*100</f>
        <v>80</v>
      </c>
    </row>
    <row r="26" spans="1:86">
      <c r="A26" s="315"/>
      <c r="B26" s="323"/>
      <c r="C26" s="315"/>
      <c r="D26" s="315"/>
      <c r="Y26" s="3" t="s">
        <v>0</v>
      </c>
      <c r="Z26" s="2">
        <f>(Z18+Z19+Z20-Z21+Z22)*100/Z17</f>
        <v>100</v>
      </c>
      <c r="AU26" s="3" t="s">
        <v>0</v>
      </c>
      <c r="AV26" s="2">
        <f>(AV18+AV19+AV20-AV21+AV22)*100/AV17</f>
        <v>100</v>
      </c>
      <c r="BO26" s="3" t="s">
        <v>0</v>
      </c>
      <c r="BP26" s="2">
        <f>(BP18+BP19+BP20-BP21+BP22)*100/BP17</f>
        <v>100</v>
      </c>
      <c r="CE26" s="3" t="s">
        <v>0</v>
      </c>
      <c r="CF26" s="2">
        <f>(CF18+CF19+CF20-CF21+CF22)*100/CF17</f>
        <v>100</v>
      </c>
    </row>
  </sheetData>
  <mergeCells count="7">
    <mergeCell ref="D21:D23"/>
    <mergeCell ref="B1:K1"/>
    <mergeCell ref="L1:AA1"/>
    <mergeCell ref="AB1:AX1"/>
    <mergeCell ref="BS1:CI1"/>
    <mergeCell ref="AZ1:BE1"/>
    <mergeCell ref="BF1:BN1"/>
  </mergeCells>
  <printOptions gridLines="1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I35"/>
  <sheetViews>
    <sheetView workbookViewId="0">
      <selection activeCell="CC3" sqref="CC3:CC22"/>
    </sheetView>
  </sheetViews>
  <sheetFormatPr defaultColWidth="8.42578125" defaultRowHeight="12.75"/>
  <cols>
    <col min="1" max="1" width="11.5703125" style="1" customWidth="1"/>
    <col min="2" max="2" width="19.5703125" style="1" customWidth="1"/>
    <col min="3" max="3" width="10.7109375" style="1" customWidth="1"/>
    <col min="4" max="4" width="9.7109375" style="1" customWidth="1"/>
    <col min="5" max="9" width="8.140625" style="1" customWidth="1"/>
    <col min="10" max="10" width="10" style="1" customWidth="1"/>
    <col min="11" max="11" width="8.140625" style="1" customWidth="1"/>
    <col min="12" max="12" width="18.5703125" style="1" customWidth="1"/>
    <col min="13" max="13" width="6.140625" style="1" customWidth="1"/>
    <col min="14" max="14" width="4.140625" style="1" customWidth="1"/>
    <col min="15" max="15" width="5.5703125" style="1" customWidth="1"/>
    <col min="16" max="16" width="5.85546875" style="1" customWidth="1"/>
    <col min="17" max="17" width="4.42578125" style="1" customWidth="1"/>
    <col min="18" max="18" width="5.140625" style="1" customWidth="1"/>
    <col min="19" max="19" width="5.42578125" style="1" customWidth="1"/>
    <col min="20" max="20" width="4.85546875" style="1" customWidth="1"/>
    <col min="21" max="21" width="5.140625" style="1" customWidth="1"/>
    <col min="22" max="22" width="5.42578125" style="1" customWidth="1"/>
    <col min="23" max="23" width="4.140625" style="1" customWidth="1"/>
    <col min="24" max="24" width="5.5703125" style="1" customWidth="1"/>
    <col min="25" max="25" width="9.28515625" style="1" customWidth="1"/>
    <col min="26" max="27" width="7" style="1" customWidth="1"/>
    <col min="28" max="28" width="18.140625" style="1" customWidth="1"/>
    <col min="29" max="29" width="5" style="1" customWidth="1"/>
    <col min="30" max="30" width="4.42578125" style="1" customWidth="1"/>
    <col min="31" max="32" width="5.28515625" style="1" customWidth="1"/>
    <col min="33" max="33" width="4.85546875" style="1" customWidth="1"/>
    <col min="34" max="34" width="5.42578125" style="1" customWidth="1"/>
    <col min="35" max="35" width="5.140625" style="1" customWidth="1"/>
    <col min="36" max="36" width="5" style="1" customWidth="1"/>
    <col min="37" max="37" width="5.7109375" style="1" customWidth="1"/>
    <col min="38" max="38" width="3.85546875" style="1" customWidth="1"/>
    <col min="39" max="39" width="5.28515625" style="1" customWidth="1"/>
    <col min="40" max="40" width="6.28515625" style="1" customWidth="1"/>
    <col min="41" max="41" width="4.5703125" style="1" customWidth="1"/>
    <col min="42" max="42" width="5" style="1" customWidth="1"/>
    <col min="43" max="43" width="5.85546875" style="1" customWidth="1"/>
    <col min="44" max="45" width="4.85546875" style="1" customWidth="1"/>
    <col min="46" max="46" width="5.140625" style="1" customWidth="1"/>
    <col min="47" max="47" width="8.7109375" style="1" customWidth="1"/>
    <col min="48" max="49" width="6.7109375" style="1" customWidth="1"/>
    <col min="50" max="50" width="5.7109375" style="1" customWidth="1"/>
    <col min="51" max="51" width="19" style="1" customWidth="1"/>
    <col min="52" max="58" width="5.7109375" style="1" customWidth="1"/>
    <col min="59" max="59" width="5" style="1" customWidth="1"/>
    <col min="60" max="66" width="5.7109375" style="1" customWidth="1"/>
    <col min="67" max="67" width="7.140625" style="1" customWidth="1"/>
    <col min="68" max="68" width="7.28515625" style="1" customWidth="1"/>
    <col min="69" max="78" width="5.7109375" style="1" customWidth="1"/>
    <col min="79" max="79" width="5.140625" style="1" customWidth="1"/>
    <col min="80" max="82" width="5.7109375" style="1" customWidth="1"/>
    <col min="83" max="83" width="7.7109375" style="1" customWidth="1"/>
    <col min="84" max="84" width="7" style="1" customWidth="1"/>
    <col min="85" max="86" width="6.85546875" style="1" customWidth="1"/>
    <col min="87" max="87" width="18.7109375" style="1" customWidth="1"/>
    <col min="88" max="258" width="8.42578125" style="1"/>
    <col min="259" max="259" width="11.5703125" style="1" customWidth="1"/>
    <col min="260" max="260" width="19.5703125" style="1" customWidth="1"/>
    <col min="261" max="261" width="10.7109375" style="1" customWidth="1"/>
    <col min="262" max="262" width="9.7109375" style="1" customWidth="1"/>
    <col min="263" max="267" width="8.140625" style="1" customWidth="1"/>
    <col min="268" max="268" width="10" style="1" customWidth="1"/>
    <col min="269" max="269" width="8.140625" style="1" customWidth="1"/>
    <col min="270" max="270" width="18.5703125" style="1" customWidth="1"/>
    <col min="271" max="271" width="6.140625" style="1" customWidth="1"/>
    <col min="272" max="272" width="4.140625" style="1" customWidth="1"/>
    <col min="273" max="273" width="5.5703125" style="1" customWidth="1"/>
    <col min="274" max="274" width="5.85546875" style="1" customWidth="1"/>
    <col min="275" max="275" width="4.42578125" style="1" customWidth="1"/>
    <col min="276" max="276" width="5.140625" style="1" customWidth="1"/>
    <col min="277" max="277" width="5.42578125" style="1" customWidth="1"/>
    <col min="278" max="278" width="4.85546875" style="1" customWidth="1"/>
    <col min="279" max="279" width="5.140625" style="1" customWidth="1"/>
    <col min="280" max="280" width="5.42578125" style="1" customWidth="1"/>
    <col min="281" max="281" width="4.140625" style="1" customWidth="1"/>
    <col min="282" max="282" width="5.5703125" style="1" customWidth="1"/>
    <col min="283" max="283" width="9.28515625" style="1" customWidth="1"/>
    <col min="284" max="285" width="7" style="1" customWidth="1"/>
    <col min="286" max="286" width="18.140625" style="1" customWidth="1"/>
    <col min="287" max="287" width="5" style="1" customWidth="1"/>
    <col min="288" max="288" width="4.42578125" style="1" customWidth="1"/>
    <col min="289" max="290" width="5.28515625" style="1" customWidth="1"/>
    <col min="291" max="291" width="4.85546875" style="1" customWidth="1"/>
    <col min="292" max="292" width="5.42578125" style="1" customWidth="1"/>
    <col min="293" max="293" width="5.140625" style="1" customWidth="1"/>
    <col min="294" max="294" width="5" style="1" customWidth="1"/>
    <col min="295" max="295" width="5.7109375" style="1" customWidth="1"/>
    <col min="296" max="296" width="3.85546875" style="1" customWidth="1"/>
    <col min="297" max="297" width="5.28515625" style="1" customWidth="1"/>
    <col min="298" max="298" width="6.28515625" style="1" customWidth="1"/>
    <col min="299" max="299" width="4.5703125" style="1" customWidth="1"/>
    <col min="300" max="300" width="5" style="1" customWidth="1"/>
    <col min="301" max="301" width="5.85546875" style="1" customWidth="1"/>
    <col min="302" max="303" width="4.85546875" style="1" customWidth="1"/>
    <col min="304" max="304" width="5.140625" style="1" customWidth="1"/>
    <col min="305" max="305" width="8.7109375" style="1" customWidth="1"/>
    <col min="306" max="307" width="6.7109375" style="1" customWidth="1"/>
    <col min="308" max="308" width="5.7109375" style="1" customWidth="1"/>
    <col min="309" max="309" width="19" style="1" customWidth="1"/>
    <col min="310" max="316" width="5.7109375" style="1" customWidth="1"/>
    <col min="317" max="317" width="5" style="1" customWidth="1"/>
    <col min="318" max="324" width="5.7109375" style="1" customWidth="1"/>
    <col min="325" max="325" width="7.140625" style="1" customWidth="1"/>
    <col min="326" max="326" width="7.28515625" style="1" customWidth="1"/>
    <col min="327" max="335" width="5.7109375" style="1" customWidth="1"/>
    <col min="336" max="336" width="5.140625" style="1" customWidth="1"/>
    <col min="337" max="339" width="5.7109375" style="1" customWidth="1"/>
    <col min="340" max="340" width="7.7109375" style="1" customWidth="1"/>
    <col min="341" max="341" width="7" style="1" customWidth="1"/>
    <col min="342" max="342" width="6.85546875" style="1" customWidth="1"/>
    <col min="343" max="343" width="18.7109375" style="1" customWidth="1"/>
    <col min="344" max="514" width="8.42578125" style="1"/>
    <col min="515" max="515" width="11.5703125" style="1" customWidth="1"/>
    <col min="516" max="516" width="19.5703125" style="1" customWidth="1"/>
    <col min="517" max="517" width="10.7109375" style="1" customWidth="1"/>
    <col min="518" max="518" width="9.7109375" style="1" customWidth="1"/>
    <col min="519" max="523" width="8.140625" style="1" customWidth="1"/>
    <col min="524" max="524" width="10" style="1" customWidth="1"/>
    <col min="525" max="525" width="8.140625" style="1" customWidth="1"/>
    <col min="526" max="526" width="18.5703125" style="1" customWidth="1"/>
    <col min="527" max="527" width="6.140625" style="1" customWidth="1"/>
    <col min="528" max="528" width="4.140625" style="1" customWidth="1"/>
    <col min="529" max="529" width="5.5703125" style="1" customWidth="1"/>
    <col min="530" max="530" width="5.85546875" style="1" customWidth="1"/>
    <col min="531" max="531" width="4.42578125" style="1" customWidth="1"/>
    <col min="532" max="532" width="5.140625" style="1" customWidth="1"/>
    <col min="533" max="533" width="5.42578125" style="1" customWidth="1"/>
    <col min="534" max="534" width="4.85546875" style="1" customWidth="1"/>
    <col min="535" max="535" width="5.140625" style="1" customWidth="1"/>
    <col min="536" max="536" width="5.42578125" style="1" customWidth="1"/>
    <col min="537" max="537" width="4.140625" style="1" customWidth="1"/>
    <col min="538" max="538" width="5.5703125" style="1" customWidth="1"/>
    <col min="539" max="539" width="9.28515625" style="1" customWidth="1"/>
    <col min="540" max="541" width="7" style="1" customWidth="1"/>
    <col min="542" max="542" width="18.140625" style="1" customWidth="1"/>
    <col min="543" max="543" width="5" style="1" customWidth="1"/>
    <col min="544" max="544" width="4.42578125" style="1" customWidth="1"/>
    <col min="545" max="546" width="5.28515625" style="1" customWidth="1"/>
    <col min="547" max="547" width="4.85546875" style="1" customWidth="1"/>
    <col min="548" max="548" width="5.42578125" style="1" customWidth="1"/>
    <col min="549" max="549" width="5.140625" style="1" customWidth="1"/>
    <col min="550" max="550" width="5" style="1" customWidth="1"/>
    <col min="551" max="551" width="5.7109375" style="1" customWidth="1"/>
    <col min="552" max="552" width="3.85546875" style="1" customWidth="1"/>
    <col min="553" max="553" width="5.28515625" style="1" customWidth="1"/>
    <col min="554" max="554" width="6.28515625" style="1" customWidth="1"/>
    <col min="555" max="555" width="4.5703125" style="1" customWidth="1"/>
    <col min="556" max="556" width="5" style="1" customWidth="1"/>
    <col min="557" max="557" width="5.85546875" style="1" customWidth="1"/>
    <col min="558" max="559" width="4.85546875" style="1" customWidth="1"/>
    <col min="560" max="560" width="5.140625" style="1" customWidth="1"/>
    <col min="561" max="561" width="8.7109375" style="1" customWidth="1"/>
    <col min="562" max="563" width="6.7109375" style="1" customWidth="1"/>
    <col min="564" max="564" width="5.7109375" style="1" customWidth="1"/>
    <col min="565" max="565" width="19" style="1" customWidth="1"/>
    <col min="566" max="572" width="5.7109375" style="1" customWidth="1"/>
    <col min="573" max="573" width="5" style="1" customWidth="1"/>
    <col min="574" max="580" width="5.7109375" style="1" customWidth="1"/>
    <col min="581" max="581" width="7.140625" style="1" customWidth="1"/>
    <col min="582" max="582" width="7.28515625" style="1" customWidth="1"/>
    <col min="583" max="591" width="5.7109375" style="1" customWidth="1"/>
    <col min="592" max="592" width="5.140625" style="1" customWidth="1"/>
    <col min="593" max="595" width="5.7109375" style="1" customWidth="1"/>
    <col min="596" max="596" width="7.7109375" style="1" customWidth="1"/>
    <col min="597" max="597" width="7" style="1" customWidth="1"/>
    <col min="598" max="598" width="6.85546875" style="1" customWidth="1"/>
    <col min="599" max="599" width="18.7109375" style="1" customWidth="1"/>
    <col min="600" max="770" width="8.42578125" style="1"/>
    <col min="771" max="771" width="11.5703125" style="1" customWidth="1"/>
    <col min="772" max="772" width="19.5703125" style="1" customWidth="1"/>
    <col min="773" max="773" width="10.7109375" style="1" customWidth="1"/>
    <col min="774" max="774" width="9.7109375" style="1" customWidth="1"/>
    <col min="775" max="779" width="8.140625" style="1" customWidth="1"/>
    <col min="780" max="780" width="10" style="1" customWidth="1"/>
    <col min="781" max="781" width="8.140625" style="1" customWidth="1"/>
    <col min="782" max="782" width="18.5703125" style="1" customWidth="1"/>
    <col min="783" max="783" width="6.140625" style="1" customWidth="1"/>
    <col min="784" max="784" width="4.140625" style="1" customWidth="1"/>
    <col min="785" max="785" width="5.5703125" style="1" customWidth="1"/>
    <col min="786" max="786" width="5.85546875" style="1" customWidth="1"/>
    <col min="787" max="787" width="4.42578125" style="1" customWidth="1"/>
    <col min="788" max="788" width="5.140625" style="1" customWidth="1"/>
    <col min="789" max="789" width="5.42578125" style="1" customWidth="1"/>
    <col min="790" max="790" width="4.85546875" style="1" customWidth="1"/>
    <col min="791" max="791" width="5.140625" style="1" customWidth="1"/>
    <col min="792" max="792" width="5.42578125" style="1" customWidth="1"/>
    <col min="793" max="793" width="4.140625" style="1" customWidth="1"/>
    <col min="794" max="794" width="5.5703125" style="1" customWidth="1"/>
    <col min="795" max="795" width="9.28515625" style="1" customWidth="1"/>
    <col min="796" max="797" width="7" style="1" customWidth="1"/>
    <col min="798" max="798" width="18.140625" style="1" customWidth="1"/>
    <col min="799" max="799" width="5" style="1" customWidth="1"/>
    <col min="800" max="800" width="4.42578125" style="1" customWidth="1"/>
    <col min="801" max="802" width="5.28515625" style="1" customWidth="1"/>
    <col min="803" max="803" width="4.85546875" style="1" customWidth="1"/>
    <col min="804" max="804" width="5.42578125" style="1" customWidth="1"/>
    <col min="805" max="805" width="5.140625" style="1" customWidth="1"/>
    <col min="806" max="806" width="5" style="1" customWidth="1"/>
    <col min="807" max="807" width="5.7109375" style="1" customWidth="1"/>
    <col min="808" max="808" width="3.85546875" style="1" customWidth="1"/>
    <col min="809" max="809" width="5.28515625" style="1" customWidth="1"/>
    <col min="810" max="810" width="6.28515625" style="1" customWidth="1"/>
    <col min="811" max="811" width="4.5703125" style="1" customWidth="1"/>
    <col min="812" max="812" width="5" style="1" customWidth="1"/>
    <col min="813" max="813" width="5.85546875" style="1" customWidth="1"/>
    <col min="814" max="815" width="4.85546875" style="1" customWidth="1"/>
    <col min="816" max="816" width="5.140625" style="1" customWidth="1"/>
    <col min="817" max="817" width="8.7109375" style="1" customWidth="1"/>
    <col min="818" max="819" width="6.7109375" style="1" customWidth="1"/>
    <col min="820" max="820" width="5.7109375" style="1" customWidth="1"/>
    <col min="821" max="821" width="19" style="1" customWidth="1"/>
    <col min="822" max="828" width="5.7109375" style="1" customWidth="1"/>
    <col min="829" max="829" width="5" style="1" customWidth="1"/>
    <col min="830" max="836" width="5.7109375" style="1" customWidth="1"/>
    <col min="837" max="837" width="7.140625" style="1" customWidth="1"/>
    <col min="838" max="838" width="7.28515625" style="1" customWidth="1"/>
    <col min="839" max="847" width="5.7109375" style="1" customWidth="1"/>
    <col min="848" max="848" width="5.140625" style="1" customWidth="1"/>
    <col min="849" max="851" width="5.7109375" style="1" customWidth="1"/>
    <col min="852" max="852" width="7.7109375" style="1" customWidth="1"/>
    <col min="853" max="853" width="7" style="1" customWidth="1"/>
    <col min="854" max="854" width="6.85546875" style="1" customWidth="1"/>
    <col min="855" max="855" width="18.7109375" style="1" customWidth="1"/>
    <col min="856" max="1026" width="8.42578125" style="1"/>
    <col min="1027" max="1027" width="11.5703125" style="1" customWidth="1"/>
    <col min="1028" max="1028" width="19.5703125" style="1" customWidth="1"/>
    <col min="1029" max="1029" width="10.7109375" style="1" customWidth="1"/>
    <col min="1030" max="1030" width="9.7109375" style="1" customWidth="1"/>
    <col min="1031" max="1035" width="8.140625" style="1" customWidth="1"/>
    <col min="1036" max="1036" width="10" style="1" customWidth="1"/>
    <col min="1037" max="1037" width="8.140625" style="1" customWidth="1"/>
    <col min="1038" max="1038" width="18.5703125" style="1" customWidth="1"/>
    <col min="1039" max="1039" width="6.140625" style="1" customWidth="1"/>
    <col min="1040" max="1040" width="4.140625" style="1" customWidth="1"/>
    <col min="1041" max="1041" width="5.5703125" style="1" customWidth="1"/>
    <col min="1042" max="1042" width="5.85546875" style="1" customWidth="1"/>
    <col min="1043" max="1043" width="4.42578125" style="1" customWidth="1"/>
    <col min="1044" max="1044" width="5.140625" style="1" customWidth="1"/>
    <col min="1045" max="1045" width="5.42578125" style="1" customWidth="1"/>
    <col min="1046" max="1046" width="4.85546875" style="1" customWidth="1"/>
    <col min="1047" max="1047" width="5.140625" style="1" customWidth="1"/>
    <col min="1048" max="1048" width="5.42578125" style="1" customWidth="1"/>
    <col min="1049" max="1049" width="4.140625" style="1" customWidth="1"/>
    <col min="1050" max="1050" width="5.5703125" style="1" customWidth="1"/>
    <col min="1051" max="1051" width="9.28515625" style="1" customWidth="1"/>
    <col min="1052" max="1053" width="7" style="1" customWidth="1"/>
    <col min="1054" max="1054" width="18.140625" style="1" customWidth="1"/>
    <col min="1055" max="1055" width="5" style="1" customWidth="1"/>
    <col min="1056" max="1056" width="4.42578125" style="1" customWidth="1"/>
    <col min="1057" max="1058" width="5.28515625" style="1" customWidth="1"/>
    <col min="1059" max="1059" width="4.85546875" style="1" customWidth="1"/>
    <col min="1060" max="1060" width="5.42578125" style="1" customWidth="1"/>
    <col min="1061" max="1061" width="5.140625" style="1" customWidth="1"/>
    <col min="1062" max="1062" width="5" style="1" customWidth="1"/>
    <col min="1063" max="1063" width="5.7109375" style="1" customWidth="1"/>
    <col min="1064" max="1064" width="3.85546875" style="1" customWidth="1"/>
    <col min="1065" max="1065" width="5.28515625" style="1" customWidth="1"/>
    <col min="1066" max="1066" width="6.28515625" style="1" customWidth="1"/>
    <col min="1067" max="1067" width="4.5703125" style="1" customWidth="1"/>
    <col min="1068" max="1068" width="5" style="1" customWidth="1"/>
    <col min="1069" max="1069" width="5.85546875" style="1" customWidth="1"/>
    <col min="1070" max="1071" width="4.85546875" style="1" customWidth="1"/>
    <col min="1072" max="1072" width="5.140625" style="1" customWidth="1"/>
    <col min="1073" max="1073" width="8.7109375" style="1" customWidth="1"/>
    <col min="1074" max="1075" width="6.7109375" style="1" customWidth="1"/>
    <col min="1076" max="1076" width="5.7109375" style="1" customWidth="1"/>
    <col min="1077" max="1077" width="19" style="1" customWidth="1"/>
    <col min="1078" max="1084" width="5.7109375" style="1" customWidth="1"/>
    <col min="1085" max="1085" width="5" style="1" customWidth="1"/>
    <col min="1086" max="1092" width="5.7109375" style="1" customWidth="1"/>
    <col min="1093" max="1093" width="7.140625" style="1" customWidth="1"/>
    <col min="1094" max="1094" width="7.28515625" style="1" customWidth="1"/>
    <col min="1095" max="1103" width="5.7109375" style="1" customWidth="1"/>
    <col min="1104" max="1104" width="5.140625" style="1" customWidth="1"/>
    <col min="1105" max="1107" width="5.7109375" style="1" customWidth="1"/>
    <col min="1108" max="1108" width="7.7109375" style="1" customWidth="1"/>
    <col min="1109" max="1109" width="7" style="1" customWidth="1"/>
    <col min="1110" max="1110" width="6.85546875" style="1" customWidth="1"/>
    <col min="1111" max="1111" width="18.7109375" style="1" customWidth="1"/>
    <col min="1112" max="1282" width="8.42578125" style="1"/>
    <col min="1283" max="1283" width="11.5703125" style="1" customWidth="1"/>
    <col min="1284" max="1284" width="19.5703125" style="1" customWidth="1"/>
    <col min="1285" max="1285" width="10.7109375" style="1" customWidth="1"/>
    <col min="1286" max="1286" width="9.7109375" style="1" customWidth="1"/>
    <col min="1287" max="1291" width="8.140625" style="1" customWidth="1"/>
    <col min="1292" max="1292" width="10" style="1" customWidth="1"/>
    <col min="1293" max="1293" width="8.140625" style="1" customWidth="1"/>
    <col min="1294" max="1294" width="18.5703125" style="1" customWidth="1"/>
    <col min="1295" max="1295" width="6.140625" style="1" customWidth="1"/>
    <col min="1296" max="1296" width="4.140625" style="1" customWidth="1"/>
    <col min="1297" max="1297" width="5.5703125" style="1" customWidth="1"/>
    <col min="1298" max="1298" width="5.85546875" style="1" customWidth="1"/>
    <col min="1299" max="1299" width="4.42578125" style="1" customWidth="1"/>
    <col min="1300" max="1300" width="5.140625" style="1" customWidth="1"/>
    <col min="1301" max="1301" width="5.42578125" style="1" customWidth="1"/>
    <col min="1302" max="1302" width="4.85546875" style="1" customWidth="1"/>
    <col min="1303" max="1303" width="5.140625" style="1" customWidth="1"/>
    <col min="1304" max="1304" width="5.42578125" style="1" customWidth="1"/>
    <col min="1305" max="1305" width="4.140625" style="1" customWidth="1"/>
    <col min="1306" max="1306" width="5.5703125" style="1" customWidth="1"/>
    <col min="1307" max="1307" width="9.28515625" style="1" customWidth="1"/>
    <col min="1308" max="1309" width="7" style="1" customWidth="1"/>
    <col min="1310" max="1310" width="18.140625" style="1" customWidth="1"/>
    <col min="1311" max="1311" width="5" style="1" customWidth="1"/>
    <col min="1312" max="1312" width="4.42578125" style="1" customWidth="1"/>
    <col min="1313" max="1314" width="5.28515625" style="1" customWidth="1"/>
    <col min="1315" max="1315" width="4.85546875" style="1" customWidth="1"/>
    <col min="1316" max="1316" width="5.42578125" style="1" customWidth="1"/>
    <col min="1317" max="1317" width="5.140625" style="1" customWidth="1"/>
    <col min="1318" max="1318" width="5" style="1" customWidth="1"/>
    <col min="1319" max="1319" width="5.7109375" style="1" customWidth="1"/>
    <col min="1320" max="1320" width="3.85546875" style="1" customWidth="1"/>
    <col min="1321" max="1321" width="5.28515625" style="1" customWidth="1"/>
    <col min="1322" max="1322" width="6.28515625" style="1" customWidth="1"/>
    <col min="1323" max="1323" width="4.5703125" style="1" customWidth="1"/>
    <col min="1324" max="1324" width="5" style="1" customWidth="1"/>
    <col min="1325" max="1325" width="5.85546875" style="1" customWidth="1"/>
    <col min="1326" max="1327" width="4.85546875" style="1" customWidth="1"/>
    <col min="1328" max="1328" width="5.140625" style="1" customWidth="1"/>
    <col min="1329" max="1329" width="8.7109375" style="1" customWidth="1"/>
    <col min="1330" max="1331" width="6.7109375" style="1" customWidth="1"/>
    <col min="1332" max="1332" width="5.7109375" style="1" customWidth="1"/>
    <col min="1333" max="1333" width="19" style="1" customWidth="1"/>
    <col min="1334" max="1340" width="5.7109375" style="1" customWidth="1"/>
    <col min="1341" max="1341" width="5" style="1" customWidth="1"/>
    <col min="1342" max="1348" width="5.7109375" style="1" customWidth="1"/>
    <col min="1349" max="1349" width="7.140625" style="1" customWidth="1"/>
    <col min="1350" max="1350" width="7.28515625" style="1" customWidth="1"/>
    <col min="1351" max="1359" width="5.7109375" style="1" customWidth="1"/>
    <col min="1360" max="1360" width="5.140625" style="1" customWidth="1"/>
    <col min="1361" max="1363" width="5.7109375" style="1" customWidth="1"/>
    <col min="1364" max="1364" width="7.7109375" style="1" customWidth="1"/>
    <col min="1365" max="1365" width="7" style="1" customWidth="1"/>
    <col min="1366" max="1366" width="6.85546875" style="1" customWidth="1"/>
    <col min="1367" max="1367" width="18.7109375" style="1" customWidth="1"/>
    <col min="1368" max="1538" width="8.42578125" style="1"/>
    <col min="1539" max="1539" width="11.5703125" style="1" customWidth="1"/>
    <col min="1540" max="1540" width="19.5703125" style="1" customWidth="1"/>
    <col min="1541" max="1541" width="10.7109375" style="1" customWidth="1"/>
    <col min="1542" max="1542" width="9.7109375" style="1" customWidth="1"/>
    <col min="1543" max="1547" width="8.140625" style="1" customWidth="1"/>
    <col min="1548" max="1548" width="10" style="1" customWidth="1"/>
    <col min="1549" max="1549" width="8.140625" style="1" customWidth="1"/>
    <col min="1550" max="1550" width="18.5703125" style="1" customWidth="1"/>
    <col min="1551" max="1551" width="6.140625" style="1" customWidth="1"/>
    <col min="1552" max="1552" width="4.140625" style="1" customWidth="1"/>
    <col min="1553" max="1553" width="5.5703125" style="1" customWidth="1"/>
    <col min="1554" max="1554" width="5.85546875" style="1" customWidth="1"/>
    <col min="1555" max="1555" width="4.42578125" style="1" customWidth="1"/>
    <col min="1556" max="1556" width="5.140625" style="1" customWidth="1"/>
    <col min="1557" max="1557" width="5.42578125" style="1" customWidth="1"/>
    <col min="1558" max="1558" width="4.85546875" style="1" customWidth="1"/>
    <col min="1559" max="1559" width="5.140625" style="1" customWidth="1"/>
    <col min="1560" max="1560" width="5.42578125" style="1" customWidth="1"/>
    <col min="1561" max="1561" width="4.140625" style="1" customWidth="1"/>
    <col min="1562" max="1562" width="5.5703125" style="1" customWidth="1"/>
    <col min="1563" max="1563" width="9.28515625" style="1" customWidth="1"/>
    <col min="1564" max="1565" width="7" style="1" customWidth="1"/>
    <col min="1566" max="1566" width="18.140625" style="1" customWidth="1"/>
    <col min="1567" max="1567" width="5" style="1" customWidth="1"/>
    <col min="1568" max="1568" width="4.42578125" style="1" customWidth="1"/>
    <col min="1569" max="1570" width="5.28515625" style="1" customWidth="1"/>
    <col min="1571" max="1571" width="4.85546875" style="1" customWidth="1"/>
    <col min="1572" max="1572" width="5.42578125" style="1" customWidth="1"/>
    <col min="1573" max="1573" width="5.140625" style="1" customWidth="1"/>
    <col min="1574" max="1574" width="5" style="1" customWidth="1"/>
    <col min="1575" max="1575" width="5.7109375" style="1" customWidth="1"/>
    <col min="1576" max="1576" width="3.85546875" style="1" customWidth="1"/>
    <col min="1577" max="1577" width="5.28515625" style="1" customWidth="1"/>
    <col min="1578" max="1578" width="6.28515625" style="1" customWidth="1"/>
    <col min="1579" max="1579" width="4.5703125" style="1" customWidth="1"/>
    <col min="1580" max="1580" width="5" style="1" customWidth="1"/>
    <col min="1581" max="1581" width="5.85546875" style="1" customWidth="1"/>
    <col min="1582" max="1583" width="4.85546875" style="1" customWidth="1"/>
    <col min="1584" max="1584" width="5.140625" style="1" customWidth="1"/>
    <col min="1585" max="1585" width="8.7109375" style="1" customWidth="1"/>
    <col min="1586" max="1587" width="6.7109375" style="1" customWidth="1"/>
    <col min="1588" max="1588" width="5.7109375" style="1" customWidth="1"/>
    <col min="1589" max="1589" width="19" style="1" customWidth="1"/>
    <col min="1590" max="1596" width="5.7109375" style="1" customWidth="1"/>
    <col min="1597" max="1597" width="5" style="1" customWidth="1"/>
    <col min="1598" max="1604" width="5.7109375" style="1" customWidth="1"/>
    <col min="1605" max="1605" width="7.140625" style="1" customWidth="1"/>
    <col min="1606" max="1606" width="7.28515625" style="1" customWidth="1"/>
    <col min="1607" max="1615" width="5.7109375" style="1" customWidth="1"/>
    <col min="1616" max="1616" width="5.140625" style="1" customWidth="1"/>
    <col min="1617" max="1619" width="5.7109375" style="1" customWidth="1"/>
    <col min="1620" max="1620" width="7.7109375" style="1" customWidth="1"/>
    <col min="1621" max="1621" width="7" style="1" customWidth="1"/>
    <col min="1622" max="1622" width="6.85546875" style="1" customWidth="1"/>
    <col min="1623" max="1623" width="18.7109375" style="1" customWidth="1"/>
    <col min="1624" max="1794" width="8.42578125" style="1"/>
    <col min="1795" max="1795" width="11.5703125" style="1" customWidth="1"/>
    <col min="1796" max="1796" width="19.5703125" style="1" customWidth="1"/>
    <col min="1797" max="1797" width="10.7109375" style="1" customWidth="1"/>
    <col min="1798" max="1798" width="9.7109375" style="1" customWidth="1"/>
    <col min="1799" max="1803" width="8.140625" style="1" customWidth="1"/>
    <col min="1804" max="1804" width="10" style="1" customWidth="1"/>
    <col min="1805" max="1805" width="8.140625" style="1" customWidth="1"/>
    <col min="1806" max="1806" width="18.5703125" style="1" customWidth="1"/>
    <col min="1807" max="1807" width="6.140625" style="1" customWidth="1"/>
    <col min="1808" max="1808" width="4.140625" style="1" customWidth="1"/>
    <col min="1809" max="1809" width="5.5703125" style="1" customWidth="1"/>
    <col min="1810" max="1810" width="5.85546875" style="1" customWidth="1"/>
    <col min="1811" max="1811" width="4.42578125" style="1" customWidth="1"/>
    <col min="1812" max="1812" width="5.140625" style="1" customWidth="1"/>
    <col min="1813" max="1813" width="5.42578125" style="1" customWidth="1"/>
    <col min="1814" max="1814" width="4.85546875" style="1" customWidth="1"/>
    <col min="1815" max="1815" width="5.140625" style="1" customWidth="1"/>
    <col min="1816" max="1816" width="5.42578125" style="1" customWidth="1"/>
    <col min="1817" max="1817" width="4.140625" style="1" customWidth="1"/>
    <col min="1818" max="1818" width="5.5703125" style="1" customWidth="1"/>
    <col min="1819" max="1819" width="9.28515625" style="1" customWidth="1"/>
    <col min="1820" max="1821" width="7" style="1" customWidth="1"/>
    <col min="1822" max="1822" width="18.140625" style="1" customWidth="1"/>
    <col min="1823" max="1823" width="5" style="1" customWidth="1"/>
    <col min="1824" max="1824" width="4.42578125" style="1" customWidth="1"/>
    <col min="1825" max="1826" width="5.28515625" style="1" customWidth="1"/>
    <col min="1827" max="1827" width="4.85546875" style="1" customWidth="1"/>
    <col min="1828" max="1828" width="5.42578125" style="1" customWidth="1"/>
    <col min="1829" max="1829" width="5.140625" style="1" customWidth="1"/>
    <col min="1830" max="1830" width="5" style="1" customWidth="1"/>
    <col min="1831" max="1831" width="5.7109375" style="1" customWidth="1"/>
    <col min="1832" max="1832" width="3.85546875" style="1" customWidth="1"/>
    <col min="1833" max="1833" width="5.28515625" style="1" customWidth="1"/>
    <col min="1834" max="1834" width="6.28515625" style="1" customWidth="1"/>
    <col min="1835" max="1835" width="4.5703125" style="1" customWidth="1"/>
    <col min="1836" max="1836" width="5" style="1" customWidth="1"/>
    <col min="1837" max="1837" width="5.85546875" style="1" customWidth="1"/>
    <col min="1838" max="1839" width="4.85546875" style="1" customWidth="1"/>
    <col min="1840" max="1840" width="5.140625" style="1" customWidth="1"/>
    <col min="1841" max="1841" width="8.7109375" style="1" customWidth="1"/>
    <col min="1842" max="1843" width="6.7109375" style="1" customWidth="1"/>
    <col min="1844" max="1844" width="5.7109375" style="1" customWidth="1"/>
    <col min="1845" max="1845" width="19" style="1" customWidth="1"/>
    <col min="1846" max="1852" width="5.7109375" style="1" customWidth="1"/>
    <col min="1853" max="1853" width="5" style="1" customWidth="1"/>
    <col min="1854" max="1860" width="5.7109375" style="1" customWidth="1"/>
    <col min="1861" max="1861" width="7.140625" style="1" customWidth="1"/>
    <col min="1862" max="1862" width="7.28515625" style="1" customWidth="1"/>
    <col min="1863" max="1871" width="5.7109375" style="1" customWidth="1"/>
    <col min="1872" max="1872" width="5.140625" style="1" customWidth="1"/>
    <col min="1873" max="1875" width="5.7109375" style="1" customWidth="1"/>
    <col min="1876" max="1876" width="7.7109375" style="1" customWidth="1"/>
    <col min="1877" max="1877" width="7" style="1" customWidth="1"/>
    <col min="1878" max="1878" width="6.85546875" style="1" customWidth="1"/>
    <col min="1879" max="1879" width="18.7109375" style="1" customWidth="1"/>
    <col min="1880" max="2050" width="8.42578125" style="1"/>
    <col min="2051" max="2051" width="11.5703125" style="1" customWidth="1"/>
    <col min="2052" max="2052" width="19.5703125" style="1" customWidth="1"/>
    <col min="2053" max="2053" width="10.7109375" style="1" customWidth="1"/>
    <col min="2054" max="2054" width="9.7109375" style="1" customWidth="1"/>
    <col min="2055" max="2059" width="8.140625" style="1" customWidth="1"/>
    <col min="2060" max="2060" width="10" style="1" customWidth="1"/>
    <col min="2061" max="2061" width="8.140625" style="1" customWidth="1"/>
    <col min="2062" max="2062" width="18.5703125" style="1" customWidth="1"/>
    <col min="2063" max="2063" width="6.140625" style="1" customWidth="1"/>
    <col min="2064" max="2064" width="4.140625" style="1" customWidth="1"/>
    <col min="2065" max="2065" width="5.5703125" style="1" customWidth="1"/>
    <col min="2066" max="2066" width="5.85546875" style="1" customWidth="1"/>
    <col min="2067" max="2067" width="4.42578125" style="1" customWidth="1"/>
    <col min="2068" max="2068" width="5.140625" style="1" customWidth="1"/>
    <col min="2069" max="2069" width="5.42578125" style="1" customWidth="1"/>
    <col min="2070" max="2070" width="4.85546875" style="1" customWidth="1"/>
    <col min="2071" max="2071" width="5.140625" style="1" customWidth="1"/>
    <col min="2072" max="2072" width="5.42578125" style="1" customWidth="1"/>
    <col min="2073" max="2073" width="4.140625" style="1" customWidth="1"/>
    <col min="2074" max="2074" width="5.5703125" style="1" customWidth="1"/>
    <col min="2075" max="2075" width="9.28515625" style="1" customWidth="1"/>
    <col min="2076" max="2077" width="7" style="1" customWidth="1"/>
    <col min="2078" max="2078" width="18.140625" style="1" customWidth="1"/>
    <col min="2079" max="2079" width="5" style="1" customWidth="1"/>
    <col min="2080" max="2080" width="4.42578125" style="1" customWidth="1"/>
    <col min="2081" max="2082" width="5.28515625" style="1" customWidth="1"/>
    <col min="2083" max="2083" width="4.85546875" style="1" customWidth="1"/>
    <col min="2084" max="2084" width="5.42578125" style="1" customWidth="1"/>
    <col min="2085" max="2085" width="5.140625" style="1" customWidth="1"/>
    <col min="2086" max="2086" width="5" style="1" customWidth="1"/>
    <col min="2087" max="2087" width="5.7109375" style="1" customWidth="1"/>
    <col min="2088" max="2088" width="3.85546875" style="1" customWidth="1"/>
    <col min="2089" max="2089" width="5.28515625" style="1" customWidth="1"/>
    <col min="2090" max="2090" width="6.28515625" style="1" customWidth="1"/>
    <col min="2091" max="2091" width="4.5703125" style="1" customWidth="1"/>
    <col min="2092" max="2092" width="5" style="1" customWidth="1"/>
    <col min="2093" max="2093" width="5.85546875" style="1" customWidth="1"/>
    <col min="2094" max="2095" width="4.85546875" style="1" customWidth="1"/>
    <col min="2096" max="2096" width="5.140625" style="1" customWidth="1"/>
    <col min="2097" max="2097" width="8.7109375" style="1" customWidth="1"/>
    <col min="2098" max="2099" width="6.7109375" style="1" customWidth="1"/>
    <col min="2100" max="2100" width="5.7109375" style="1" customWidth="1"/>
    <col min="2101" max="2101" width="19" style="1" customWidth="1"/>
    <col min="2102" max="2108" width="5.7109375" style="1" customWidth="1"/>
    <col min="2109" max="2109" width="5" style="1" customWidth="1"/>
    <col min="2110" max="2116" width="5.7109375" style="1" customWidth="1"/>
    <col min="2117" max="2117" width="7.140625" style="1" customWidth="1"/>
    <col min="2118" max="2118" width="7.28515625" style="1" customWidth="1"/>
    <col min="2119" max="2127" width="5.7109375" style="1" customWidth="1"/>
    <col min="2128" max="2128" width="5.140625" style="1" customWidth="1"/>
    <col min="2129" max="2131" width="5.7109375" style="1" customWidth="1"/>
    <col min="2132" max="2132" width="7.7109375" style="1" customWidth="1"/>
    <col min="2133" max="2133" width="7" style="1" customWidth="1"/>
    <col min="2134" max="2134" width="6.85546875" style="1" customWidth="1"/>
    <col min="2135" max="2135" width="18.7109375" style="1" customWidth="1"/>
    <col min="2136" max="2306" width="8.42578125" style="1"/>
    <col min="2307" max="2307" width="11.5703125" style="1" customWidth="1"/>
    <col min="2308" max="2308" width="19.5703125" style="1" customWidth="1"/>
    <col min="2309" max="2309" width="10.7109375" style="1" customWidth="1"/>
    <col min="2310" max="2310" width="9.7109375" style="1" customWidth="1"/>
    <col min="2311" max="2315" width="8.140625" style="1" customWidth="1"/>
    <col min="2316" max="2316" width="10" style="1" customWidth="1"/>
    <col min="2317" max="2317" width="8.140625" style="1" customWidth="1"/>
    <col min="2318" max="2318" width="18.5703125" style="1" customWidth="1"/>
    <col min="2319" max="2319" width="6.140625" style="1" customWidth="1"/>
    <col min="2320" max="2320" width="4.140625" style="1" customWidth="1"/>
    <col min="2321" max="2321" width="5.5703125" style="1" customWidth="1"/>
    <col min="2322" max="2322" width="5.85546875" style="1" customWidth="1"/>
    <col min="2323" max="2323" width="4.42578125" style="1" customWidth="1"/>
    <col min="2324" max="2324" width="5.140625" style="1" customWidth="1"/>
    <col min="2325" max="2325" width="5.42578125" style="1" customWidth="1"/>
    <col min="2326" max="2326" width="4.85546875" style="1" customWidth="1"/>
    <col min="2327" max="2327" width="5.140625" style="1" customWidth="1"/>
    <col min="2328" max="2328" width="5.42578125" style="1" customWidth="1"/>
    <col min="2329" max="2329" width="4.140625" style="1" customWidth="1"/>
    <col min="2330" max="2330" width="5.5703125" style="1" customWidth="1"/>
    <col min="2331" max="2331" width="9.28515625" style="1" customWidth="1"/>
    <col min="2332" max="2333" width="7" style="1" customWidth="1"/>
    <col min="2334" max="2334" width="18.140625" style="1" customWidth="1"/>
    <col min="2335" max="2335" width="5" style="1" customWidth="1"/>
    <col min="2336" max="2336" width="4.42578125" style="1" customWidth="1"/>
    <col min="2337" max="2338" width="5.28515625" style="1" customWidth="1"/>
    <col min="2339" max="2339" width="4.85546875" style="1" customWidth="1"/>
    <col min="2340" max="2340" width="5.42578125" style="1" customWidth="1"/>
    <col min="2341" max="2341" width="5.140625" style="1" customWidth="1"/>
    <col min="2342" max="2342" width="5" style="1" customWidth="1"/>
    <col min="2343" max="2343" width="5.7109375" style="1" customWidth="1"/>
    <col min="2344" max="2344" width="3.85546875" style="1" customWidth="1"/>
    <col min="2345" max="2345" width="5.28515625" style="1" customWidth="1"/>
    <col min="2346" max="2346" width="6.28515625" style="1" customWidth="1"/>
    <col min="2347" max="2347" width="4.5703125" style="1" customWidth="1"/>
    <col min="2348" max="2348" width="5" style="1" customWidth="1"/>
    <col min="2349" max="2349" width="5.85546875" style="1" customWidth="1"/>
    <col min="2350" max="2351" width="4.85546875" style="1" customWidth="1"/>
    <col min="2352" max="2352" width="5.140625" style="1" customWidth="1"/>
    <col min="2353" max="2353" width="8.7109375" style="1" customWidth="1"/>
    <col min="2354" max="2355" width="6.7109375" style="1" customWidth="1"/>
    <col min="2356" max="2356" width="5.7109375" style="1" customWidth="1"/>
    <col min="2357" max="2357" width="19" style="1" customWidth="1"/>
    <col min="2358" max="2364" width="5.7109375" style="1" customWidth="1"/>
    <col min="2365" max="2365" width="5" style="1" customWidth="1"/>
    <col min="2366" max="2372" width="5.7109375" style="1" customWidth="1"/>
    <col min="2373" max="2373" width="7.140625" style="1" customWidth="1"/>
    <col min="2374" max="2374" width="7.28515625" style="1" customWidth="1"/>
    <col min="2375" max="2383" width="5.7109375" style="1" customWidth="1"/>
    <col min="2384" max="2384" width="5.140625" style="1" customWidth="1"/>
    <col min="2385" max="2387" width="5.7109375" style="1" customWidth="1"/>
    <col min="2388" max="2388" width="7.7109375" style="1" customWidth="1"/>
    <col min="2389" max="2389" width="7" style="1" customWidth="1"/>
    <col min="2390" max="2390" width="6.85546875" style="1" customWidth="1"/>
    <col min="2391" max="2391" width="18.7109375" style="1" customWidth="1"/>
    <col min="2392" max="2562" width="8.42578125" style="1"/>
    <col min="2563" max="2563" width="11.5703125" style="1" customWidth="1"/>
    <col min="2564" max="2564" width="19.5703125" style="1" customWidth="1"/>
    <col min="2565" max="2565" width="10.7109375" style="1" customWidth="1"/>
    <col min="2566" max="2566" width="9.7109375" style="1" customWidth="1"/>
    <col min="2567" max="2571" width="8.140625" style="1" customWidth="1"/>
    <col min="2572" max="2572" width="10" style="1" customWidth="1"/>
    <col min="2573" max="2573" width="8.140625" style="1" customWidth="1"/>
    <col min="2574" max="2574" width="18.5703125" style="1" customWidth="1"/>
    <col min="2575" max="2575" width="6.140625" style="1" customWidth="1"/>
    <col min="2576" max="2576" width="4.140625" style="1" customWidth="1"/>
    <col min="2577" max="2577" width="5.5703125" style="1" customWidth="1"/>
    <col min="2578" max="2578" width="5.85546875" style="1" customWidth="1"/>
    <col min="2579" max="2579" width="4.42578125" style="1" customWidth="1"/>
    <col min="2580" max="2580" width="5.140625" style="1" customWidth="1"/>
    <col min="2581" max="2581" width="5.42578125" style="1" customWidth="1"/>
    <col min="2582" max="2582" width="4.85546875" style="1" customWidth="1"/>
    <col min="2583" max="2583" width="5.140625" style="1" customWidth="1"/>
    <col min="2584" max="2584" width="5.42578125" style="1" customWidth="1"/>
    <col min="2585" max="2585" width="4.140625" style="1" customWidth="1"/>
    <col min="2586" max="2586" width="5.5703125" style="1" customWidth="1"/>
    <col min="2587" max="2587" width="9.28515625" style="1" customWidth="1"/>
    <col min="2588" max="2589" width="7" style="1" customWidth="1"/>
    <col min="2590" max="2590" width="18.140625" style="1" customWidth="1"/>
    <col min="2591" max="2591" width="5" style="1" customWidth="1"/>
    <col min="2592" max="2592" width="4.42578125" style="1" customWidth="1"/>
    <col min="2593" max="2594" width="5.28515625" style="1" customWidth="1"/>
    <col min="2595" max="2595" width="4.85546875" style="1" customWidth="1"/>
    <col min="2596" max="2596" width="5.42578125" style="1" customWidth="1"/>
    <col min="2597" max="2597" width="5.140625" style="1" customWidth="1"/>
    <col min="2598" max="2598" width="5" style="1" customWidth="1"/>
    <col min="2599" max="2599" width="5.7109375" style="1" customWidth="1"/>
    <col min="2600" max="2600" width="3.85546875" style="1" customWidth="1"/>
    <col min="2601" max="2601" width="5.28515625" style="1" customWidth="1"/>
    <col min="2602" max="2602" width="6.28515625" style="1" customWidth="1"/>
    <col min="2603" max="2603" width="4.5703125" style="1" customWidth="1"/>
    <col min="2604" max="2604" width="5" style="1" customWidth="1"/>
    <col min="2605" max="2605" width="5.85546875" style="1" customWidth="1"/>
    <col min="2606" max="2607" width="4.85546875" style="1" customWidth="1"/>
    <col min="2608" max="2608" width="5.140625" style="1" customWidth="1"/>
    <col min="2609" max="2609" width="8.7109375" style="1" customWidth="1"/>
    <col min="2610" max="2611" width="6.7109375" style="1" customWidth="1"/>
    <col min="2612" max="2612" width="5.7109375" style="1" customWidth="1"/>
    <col min="2613" max="2613" width="19" style="1" customWidth="1"/>
    <col min="2614" max="2620" width="5.7109375" style="1" customWidth="1"/>
    <col min="2621" max="2621" width="5" style="1" customWidth="1"/>
    <col min="2622" max="2628" width="5.7109375" style="1" customWidth="1"/>
    <col min="2629" max="2629" width="7.140625" style="1" customWidth="1"/>
    <col min="2630" max="2630" width="7.28515625" style="1" customWidth="1"/>
    <col min="2631" max="2639" width="5.7109375" style="1" customWidth="1"/>
    <col min="2640" max="2640" width="5.140625" style="1" customWidth="1"/>
    <col min="2641" max="2643" width="5.7109375" style="1" customWidth="1"/>
    <col min="2644" max="2644" width="7.7109375" style="1" customWidth="1"/>
    <col min="2645" max="2645" width="7" style="1" customWidth="1"/>
    <col min="2646" max="2646" width="6.85546875" style="1" customWidth="1"/>
    <col min="2647" max="2647" width="18.7109375" style="1" customWidth="1"/>
    <col min="2648" max="2818" width="8.42578125" style="1"/>
    <col min="2819" max="2819" width="11.5703125" style="1" customWidth="1"/>
    <col min="2820" max="2820" width="19.5703125" style="1" customWidth="1"/>
    <col min="2821" max="2821" width="10.7109375" style="1" customWidth="1"/>
    <col min="2822" max="2822" width="9.7109375" style="1" customWidth="1"/>
    <col min="2823" max="2827" width="8.140625" style="1" customWidth="1"/>
    <col min="2828" max="2828" width="10" style="1" customWidth="1"/>
    <col min="2829" max="2829" width="8.140625" style="1" customWidth="1"/>
    <col min="2830" max="2830" width="18.5703125" style="1" customWidth="1"/>
    <col min="2831" max="2831" width="6.140625" style="1" customWidth="1"/>
    <col min="2832" max="2832" width="4.140625" style="1" customWidth="1"/>
    <col min="2833" max="2833" width="5.5703125" style="1" customWidth="1"/>
    <col min="2834" max="2834" width="5.85546875" style="1" customWidth="1"/>
    <col min="2835" max="2835" width="4.42578125" style="1" customWidth="1"/>
    <col min="2836" max="2836" width="5.140625" style="1" customWidth="1"/>
    <col min="2837" max="2837" width="5.42578125" style="1" customWidth="1"/>
    <col min="2838" max="2838" width="4.85546875" style="1" customWidth="1"/>
    <col min="2839" max="2839" width="5.140625" style="1" customWidth="1"/>
    <col min="2840" max="2840" width="5.42578125" style="1" customWidth="1"/>
    <col min="2841" max="2841" width="4.140625" style="1" customWidth="1"/>
    <col min="2842" max="2842" width="5.5703125" style="1" customWidth="1"/>
    <col min="2843" max="2843" width="9.28515625" style="1" customWidth="1"/>
    <col min="2844" max="2845" width="7" style="1" customWidth="1"/>
    <col min="2846" max="2846" width="18.140625" style="1" customWidth="1"/>
    <col min="2847" max="2847" width="5" style="1" customWidth="1"/>
    <col min="2848" max="2848" width="4.42578125" style="1" customWidth="1"/>
    <col min="2849" max="2850" width="5.28515625" style="1" customWidth="1"/>
    <col min="2851" max="2851" width="4.85546875" style="1" customWidth="1"/>
    <col min="2852" max="2852" width="5.42578125" style="1" customWidth="1"/>
    <col min="2853" max="2853" width="5.140625" style="1" customWidth="1"/>
    <col min="2854" max="2854" width="5" style="1" customWidth="1"/>
    <col min="2855" max="2855" width="5.7109375" style="1" customWidth="1"/>
    <col min="2856" max="2856" width="3.85546875" style="1" customWidth="1"/>
    <col min="2857" max="2857" width="5.28515625" style="1" customWidth="1"/>
    <col min="2858" max="2858" width="6.28515625" style="1" customWidth="1"/>
    <col min="2859" max="2859" width="4.5703125" style="1" customWidth="1"/>
    <col min="2860" max="2860" width="5" style="1" customWidth="1"/>
    <col min="2861" max="2861" width="5.85546875" style="1" customWidth="1"/>
    <col min="2862" max="2863" width="4.85546875" style="1" customWidth="1"/>
    <col min="2864" max="2864" width="5.140625" style="1" customWidth="1"/>
    <col min="2865" max="2865" width="8.7109375" style="1" customWidth="1"/>
    <col min="2866" max="2867" width="6.7109375" style="1" customWidth="1"/>
    <col min="2868" max="2868" width="5.7109375" style="1" customWidth="1"/>
    <col min="2869" max="2869" width="19" style="1" customWidth="1"/>
    <col min="2870" max="2876" width="5.7109375" style="1" customWidth="1"/>
    <col min="2877" max="2877" width="5" style="1" customWidth="1"/>
    <col min="2878" max="2884" width="5.7109375" style="1" customWidth="1"/>
    <col min="2885" max="2885" width="7.140625" style="1" customWidth="1"/>
    <col min="2886" max="2886" width="7.28515625" style="1" customWidth="1"/>
    <col min="2887" max="2895" width="5.7109375" style="1" customWidth="1"/>
    <col min="2896" max="2896" width="5.140625" style="1" customWidth="1"/>
    <col min="2897" max="2899" width="5.7109375" style="1" customWidth="1"/>
    <col min="2900" max="2900" width="7.7109375" style="1" customWidth="1"/>
    <col min="2901" max="2901" width="7" style="1" customWidth="1"/>
    <col min="2902" max="2902" width="6.85546875" style="1" customWidth="1"/>
    <col min="2903" max="2903" width="18.7109375" style="1" customWidth="1"/>
    <col min="2904" max="3074" width="8.42578125" style="1"/>
    <col min="3075" max="3075" width="11.5703125" style="1" customWidth="1"/>
    <col min="3076" max="3076" width="19.5703125" style="1" customWidth="1"/>
    <col min="3077" max="3077" width="10.7109375" style="1" customWidth="1"/>
    <col min="3078" max="3078" width="9.7109375" style="1" customWidth="1"/>
    <col min="3079" max="3083" width="8.140625" style="1" customWidth="1"/>
    <col min="3084" max="3084" width="10" style="1" customWidth="1"/>
    <col min="3085" max="3085" width="8.140625" style="1" customWidth="1"/>
    <col min="3086" max="3086" width="18.5703125" style="1" customWidth="1"/>
    <col min="3087" max="3087" width="6.140625" style="1" customWidth="1"/>
    <col min="3088" max="3088" width="4.140625" style="1" customWidth="1"/>
    <col min="3089" max="3089" width="5.5703125" style="1" customWidth="1"/>
    <col min="3090" max="3090" width="5.85546875" style="1" customWidth="1"/>
    <col min="3091" max="3091" width="4.42578125" style="1" customWidth="1"/>
    <col min="3092" max="3092" width="5.140625" style="1" customWidth="1"/>
    <col min="3093" max="3093" width="5.42578125" style="1" customWidth="1"/>
    <col min="3094" max="3094" width="4.85546875" style="1" customWidth="1"/>
    <col min="3095" max="3095" width="5.140625" style="1" customWidth="1"/>
    <col min="3096" max="3096" width="5.42578125" style="1" customWidth="1"/>
    <col min="3097" max="3097" width="4.140625" style="1" customWidth="1"/>
    <col min="3098" max="3098" width="5.5703125" style="1" customWidth="1"/>
    <col min="3099" max="3099" width="9.28515625" style="1" customWidth="1"/>
    <col min="3100" max="3101" width="7" style="1" customWidth="1"/>
    <col min="3102" max="3102" width="18.140625" style="1" customWidth="1"/>
    <col min="3103" max="3103" width="5" style="1" customWidth="1"/>
    <col min="3104" max="3104" width="4.42578125" style="1" customWidth="1"/>
    <col min="3105" max="3106" width="5.28515625" style="1" customWidth="1"/>
    <col min="3107" max="3107" width="4.85546875" style="1" customWidth="1"/>
    <col min="3108" max="3108" width="5.42578125" style="1" customWidth="1"/>
    <col min="3109" max="3109" width="5.140625" style="1" customWidth="1"/>
    <col min="3110" max="3110" width="5" style="1" customWidth="1"/>
    <col min="3111" max="3111" width="5.7109375" style="1" customWidth="1"/>
    <col min="3112" max="3112" width="3.85546875" style="1" customWidth="1"/>
    <col min="3113" max="3113" width="5.28515625" style="1" customWidth="1"/>
    <col min="3114" max="3114" width="6.28515625" style="1" customWidth="1"/>
    <col min="3115" max="3115" width="4.5703125" style="1" customWidth="1"/>
    <col min="3116" max="3116" width="5" style="1" customWidth="1"/>
    <col min="3117" max="3117" width="5.85546875" style="1" customWidth="1"/>
    <col min="3118" max="3119" width="4.85546875" style="1" customWidth="1"/>
    <col min="3120" max="3120" width="5.140625" style="1" customWidth="1"/>
    <col min="3121" max="3121" width="8.7109375" style="1" customWidth="1"/>
    <col min="3122" max="3123" width="6.7109375" style="1" customWidth="1"/>
    <col min="3124" max="3124" width="5.7109375" style="1" customWidth="1"/>
    <col min="3125" max="3125" width="19" style="1" customWidth="1"/>
    <col min="3126" max="3132" width="5.7109375" style="1" customWidth="1"/>
    <col min="3133" max="3133" width="5" style="1" customWidth="1"/>
    <col min="3134" max="3140" width="5.7109375" style="1" customWidth="1"/>
    <col min="3141" max="3141" width="7.140625" style="1" customWidth="1"/>
    <col min="3142" max="3142" width="7.28515625" style="1" customWidth="1"/>
    <col min="3143" max="3151" width="5.7109375" style="1" customWidth="1"/>
    <col min="3152" max="3152" width="5.140625" style="1" customWidth="1"/>
    <col min="3153" max="3155" width="5.7109375" style="1" customWidth="1"/>
    <col min="3156" max="3156" width="7.7109375" style="1" customWidth="1"/>
    <col min="3157" max="3157" width="7" style="1" customWidth="1"/>
    <col min="3158" max="3158" width="6.85546875" style="1" customWidth="1"/>
    <col min="3159" max="3159" width="18.7109375" style="1" customWidth="1"/>
    <col min="3160" max="3330" width="8.42578125" style="1"/>
    <col min="3331" max="3331" width="11.5703125" style="1" customWidth="1"/>
    <col min="3332" max="3332" width="19.5703125" style="1" customWidth="1"/>
    <col min="3333" max="3333" width="10.7109375" style="1" customWidth="1"/>
    <col min="3334" max="3334" width="9.7109375" style="1" customWidth="1"/>
    <col min="3335" max="3339" width="8.140625" style="1" customWidth="1"/>
    <col min="3340" max="3340" width="10" style="1" customWidth="1"/>
    <col min="3341" max="3341" width="8.140625" style="1" customWidth="1"/>
    <col min="3342" max="3342" width="18.5703125" style="1" customWidth="1"/>
    <col min="3343" max="3343" width="6.140625" style="1" customWidth="1"/>
    <col min="3344" max="3344" width="4.140625" style="1" customWidth="1"/>
    <col min="3345" max="3345" width="5.5703125" style="1" customWidth="1"/>
    <col min="3346" max="3346" width="5.85546875" style="1" customWidth="1"/>
    <col min="3347" max="3347" width="4.42578125" style="1" customWidth="1"/>
    <col min="3348" max="3348" width="5.140625" style="1" customWidth="1"/>
    <col min="3349" max="3349" width="5.42578125" style="1" customWidth="1"/>
    <col min="3350" max="3350" width="4.85546875" style="1" customWidth="1"/>
    <col min="3351" max="3351" width="5.140625" style="1" customWidth="1"/>
    <col min="3352" max="3352" width="5.42578125" style="1" customWidth="1"/>
    <col min="3353" max="3353" width="4.140625" style="1" customWidth="1"/>
    <col min="3354" max="3354" width="5.5703125" style="1" customWidth="1"/>
    <col min="3355" max="3355" width="9.28515625" style="1" customWidth="1"/>
    <col min="3356" max="3357" width="7" style="1" customWidth="1"/>
    <col min="3358" max="3358" width="18.140625" style="1" customWidth="1"/>
    <col min="3359" max="3359" width="5" style="1" customWidth="1"/>
    <col min="3360" max="3360" width="4.42578125" style="1" customWidth="1"/>
    <col min="3361" max="3362" width="5.28515625" style="1" customWidth="1"/>
    <col min="3363" max="3363" width="4.85546875" style="1" customWidth="1"/>
    <col min="3364" max="3364" width="5.42578125" style="1" customWidth="1"/>
    <col min="3365" max="3365" width="5.140625" style="1" customWidth="1"/>
    <col min="3366" max="3366" width="5" style="1" customWidth="1"/>
    <col min="3367" max="3367" width="5.7109375" style="1" customWidth="1"/>
    <col min="3368" max="3368" width="3.85546875" style="1" customWidth="1"/>
    <col min="3369" max="3369" width="5.28515625" style="1" customWidth="1"/>
    <col min="3370" max="3370" width="6.28515625" style="1" customWidth="1"/>
    <col min="3371" max="3371" width="4.5703125" style="1" customWidth="1"/>
    <col min="3372" max="3372" width="5" style="1" customWidth="1"/>
    <col min="3373" max="3373" width="5.85546875" style="1" customWidth="1"/>
    <col min="3374" max="3375" width="4.85546875" style="1" customWidth="1"/>
    <col min="3376" max="3376" width="5.140625" style="1" customWidth="1"/>
    <col min="3377" max="3377" width="8.7109375" style="1" customWidth="1"/>
    <col min="3378" max="3379" width="6.7109375" style="1" customWidth="1"/>
    <col min="3380" max="3380" width="5.7109375" style="1" customWidth="1"/>
    <col min="3381" max="3381" width="19" style="1" customWidth="1"/>
    <col min="3382" max="3388" width="5.7109375" style="1" customWidth="1"/>
    <col min="3389" max="3389" width="5" style="1" customWidth="1"/>
    <col min="3390" max="3396" width="5.7109375" style="1" customWidth="1"/>
    <col min="3397" max="3397" width="7.140625" style="1" customWidth="1"/>
    <col min="3398" max="3398" width="7.28515625" style="1" customWidth="1"/>
    <col min="3399" max="3407" width="5.7109375" style="1" customWidth="1"/>
    <col min="3408" max="3408" width="5.140625" style="1" customWidth="1"/>
    <col min="3409" max="3411" width="5.7109375" style="1" customWidth="1"/>
    <col min="3412" max="3412" width="7.7109375" style="1" customWidth="1"/>
    <col min="3413" max="3413" width="7" style="1" customWidth="1"/>
    <col min="3414" max="3414" width="6.85546875" style="1" customWidth="1"/>
    <col min="3415" max="3415" width="18.7109375" style="1" customWidth="1"/>
    <col min="3416" max="3586" width="8.42578125" style="1"/>
    <col min="3587" max="3587" width="11.5703125" style="1" customWidth="1"/>
    <col min="3588" max="3588" width="19.5703125" style="1" customWidth="1"/>
    <col min="3589" max="3589" width="10.7109375" style="1" customWidth="1"/>
    <col min="3590" max="3590" width="9.7109375" style="1" customWidth="1"/>
    <col min="3591" max="3595" width="8.140625" style="1" customWidth="1"/>
    <col min="3596" max="3596" width="10" style="1" customWidth="1"/>
    <col min="3597" max="3597" width="8.140625" style="1" customWidth="1"/>
    <col min="3598" max="3598" width="18.5703125" style="1" customWidth="1"/>
    <col min="3599" max="3599" width="6.140625" style="1" customWidth="1"/>
    <col min="3600" max="3600" width="4.140625" style="1" customWidth="1"/>
    <col min="3601" max="3601" width="5.5703125" style="1" customWidth="1"/>
    <col min="3602" max="3602" width="5.85546875" style="1" customWidth="1"/>
    <col min="3603" max="3603" width="4.42578125" style="1" customWidth="1"/>
    <col min="3604" max="3604" width="5.140625" style="1" customWidth="1"/>
    <col min="3605" max="3605" width="5.42578125" style="1" customWidth="1"/>
    <col min="3606" max="3606" width="4.85546875" style="1" customWidth="1"/>
    <col min="3607" max="3607" width="5.140625" style="1" customWidth="1"/>
    <col min="3608" max="3608" width="5.42578125" style="1" customWidth="1"/>
    <col min="3609" max="3609" width="4.140625" style="1" customWidth="1"/>
    <col min="3610" max="3610" width="5.5703125" style="1" customWidth="1"/>
    <col min="3611" max="3611" width="9.28515625" style="1" customWidth="1"/>
    <col min="3612" max="3613" width="7" style="1" customWidth="1"/>
    <col min="3614" max="3614" width="18.140625" style="1" customWidth="1"/>
    <col min="3615" max="3615" width="5" style="1" customWidth="1"/>
    <col min="3616" max="3616" width="4.42578125" style="1" customWidth="1"/>
    <col min="3617" max="3618" width="5.28515625" style="1" customWidth="1"/>
    <col min="3619" max="3619" width="4.85546875" style="1" customWidth="1"/>
    <col min="3620" max="3620" width="5.42578125" style="1" customWidth="1"/>
    <col min="3621" max="3621" width="5.140625" style="1" customWidth="1"/>
    <col min="3622" max="3622" width="5" style="1" customWidth="1"/>
    <col min="3623" max="3623" width="5.7109375" style="1" customWidth="1"/>
    <col min="3624" max="3624" width="3.85546875" style="1" customWidth="1"/>
    <col min="3625" max="3625" width="5.28515625" style="1" customWidth="1"/>
    <col min="3626" max="3626" width="6.28515625" style="1" customWidth="1"/>
    <col min="3627" max="3627" width="4.5703125" style="1" customWidth="1"/>
    <col min="3628" max="3628" width="5" style="1" customWidth="1"/>
    <col min="3629" max="3629" width="5.85546875" style="1" customWidth="1"/>
    <col min="3630" max="3631" width="4.85546875" style="1" customWidth="1"/>
    <col min="3632" max="3632" width="5.140625" style="1" customWidth="1"/>
    <col min="3633" max="3633" width="8.7109375" style="1" customWidth="1"/>
    <col min="3634" max="3635" width="6.7109375" style="1" customWidth="1"/>
    <col min="3636" max="3636" width="5.7109375" style="1" customWidth="1"/>
    <col min="3637" max="3637" width="19" style="1" customWidth="1"/>
    <col min="3638" max="3644" width="5.7109375" style="1" customWidth="1"/>
    <col min="3645" max="3645" width="5" style="1" customWidth="1"/>
    <col min="3646" max="3652" width="5.7109375" style="1" customWidth="1"/>
    <col min="3653" max="3653" width="7.140625" style="1" customWidth="1"/>
    <col min="3654" max="3654" width="7.28515625" style="1" customWidth="1"/>
    <col min="3655" max="3663" width="5.7109375" style="1" customWidth="1"/>
    <col min="3664" max="3664" width="5.140625" style="1" customWidth="1"/>
    <col min="3665" max="3667" width="5.7109375" style="1" customWidth="1"/>
    <col min="3668" max="3668" width="7.7109375" style="1" customWidth="1"/>
    <col min="3669" max="3669" width="7" style="1" customWidth="1"/>
    <col min="3670" max="3670" width="6.85546875" style="1" customWidth="1"/>
    <col min="3671" max="3671" width="18.7109375" style="1" customWidth="1"/>
    <col min="3672" max="3842" width="8.42578125" style="1"/>
    <col min="3843" max="3843" width="11.5703125" style="1" customWidth="1"/>
    <col min="3844" max="3844" width="19.5703125" style="1" customWidth="1"/>
    <col min="3845" max="3845" width="10.7109375" style="1" customWidth="1"/>
    <col min="3846" max="3846" width="9.7109375" style="1" customWidth="1"/>
    <col min="3847" max="3851" width="8.140625" style="1" customWidth="1"/>
    <col min="3852" max="3852" width="10" style="1" customWidth="1"/>
    <col min="3853" max="3853" width="8.140625" style="1" customWidth="1"/>
    <col min="3854" max="3854" width="18.5703125" style="1" customWidth="1"/>
    <col min="3855" max="3855" width="6.140625" style="1" customWidth="1"/>
    <col min="3856" max="3856" width="4.140625" style="1" customWidth="1"/>
    <col min="3857" max="3857" width="5.5703125" style="1" customWidth="1"/>
    <col min="3858" max="3858" width="5.85546875" style="1" customWidth="1"/>
    <col min="3859" max="3859" width="4.42578125" style="1" customWidth="1"/>
    <col min="3860" max="3860" width="5.140625" style="1" customWidth="1"/>
    <col min="3861" max="3861" width="5.42578125" style="1" customWidth="1"/>
    <col min="3862" max="3862" width="4.85546875" style="1" customWidth="1"/>
    <col min="3863" max="3863" width="5.140625" style="1" customWidth="1"/>
    <col min="3864" max="3864" width="5.42578125" style="1" customWidth="1"/>
    <col min="3865" max="3865" width="4.140625" style="1" customWidth="1"/>
    <col min="3866" max="3866" width="5.5703125" style="1" customWidth="1"/>
    <col min="3867" max="3867" width="9.28515625" style="1" customWidth="1"/>
    <col min="3868" max="3869" width="7" style="1" customWidth="1"/>
    <col min="3870" max="3870" width="18.140625" style="1" customWidth="1"/>
    <col min="3871" max="3871" width="5" style="1" customWidth="1"/>
    <col min="3872" max="3872" width="4.42578125" style="1" customWidth="1"/>
    <col min="3873" max="3874" width="5.28515625" style="1" customWidth="1"/>
    <col min="3875" max="3875" width="4.85546875" style="1" customWidth="1"/>
    <col min="3876" max="3876" width="5.42578125" style="1" customWidth="1"/>
    <col min="3877" max="3877" width="5.140625" style="1" customWidth="1"/>
    <col min="3878" max="3878" width="5" style="1" customWidth="1"/>
    <col min="3879" max="3879" width="5.7109375" style="1" customWidth="1"/>
    <col min="3880" max="3880" width="3.85546875" style="1" customWidth="1"/>
    <col min="3881" max="3881" width="5.28515625" style="1" customWidth="1"/>
    <col min="3882" max="3882" width="6.28515625" style="1" customWidth="1"/>
    <col min="3883" max="3883" width="4.5703125" style="1" customWidth="1"/>
    <col min="3884" max="3884" width="5" style="1" customWidth="1"/>
    <col min="3885" max="3885" width="5.85546875" style="1" customWidth="1"/>
    <col min="3886" max="3887" width="4.85546875" style="1" customWidth="1"/>
    <col min="3888" max="3888" width="5.140625" style="1" customWidth="1"/>
    <col min="3889" max="3889" width="8.7109375" style="1" customWidth="1"/>
    <col min="3890" max="3891" width="6.7109375" style="1" customWidth="1"/>
    <col min="3892" max="3892" width="5.7109375" style="1" customWidth="1"/>
    <col min="3893" max="3893" width="19" style="1" customWidth="1"/>
    <col min="3894" max="3900" width="5.7109375" style="1" customWidth="1"/>
    <col min="3901" max="3901" width="5" style="1" customWidth="1"/>
    <col min="3902" max="3908" width="5.7109375" style="1" customWidth="1"/>
    <col min="3909" max="3909" width="7.140625" style="1" customWidth="1"/>
    <col min="3910" max="3910" width="7.28515625" style="1" customWidth="1"/>
    <col min="3911" max="3919" width="5.7109375" style="1" customWidth="1"/>
    <col min="3920" max="3920" width="5.140625" style="1" customWidth="1"/>
    <col min="3921" max="3923" width="5.7109375" style="1" customWidth="1"/>
    <col min="3924" max="3924" width="7.7109375" style="1" customWidth="1"/>
    <col min="3925" max="3925" width="7" style="1" customWidth="1"/>
    <col min="3926" max="3926" width="6.85546875" style="1" customWidth="1"/>
    <col min="3927" max="3927" width="18.7109375" style="1" customWidth="1"/>
    <col min="3928" max="4098" width="8.42578125" style="1"/>
    <col min="4099" max="4099" width="11.5703125" style="1" customWidth="1"/>
    <col min="4100" max="4100" width="19.5703125" style="1" customWidth="1"/>
    <col min="4101" max="4101" width="10.7109375" style="1" customWidth="1"/>
    <col min="4102" max="4102" width="9.7109375" style="1" customWidth="1"/>
    <col min="4103" max="4107" width="8.140625" style="1" customWidth="1"/>
    <col min="4108" max="4108" width="10" style="1" customWidth="1"/>
    <col min="4109" max="4109" width="8.140625" style="1" customWidth="1"/>
    <col min="4110" max="4110" width="18.5703125" style="1" customWidth="1"/>
    <col min="4111" max="4111" width="6.140625" style="1" customWidth="1"/>
    <col min="4112" max="4112" width="4.140625" style="1" customWidth="1"/>
    <col min="4113" max="4113" width="5.5703125" style="1" customWidth="1"/>
    <col min="4114" max="4114" width="5.85546875" style="1" customWidth="1"/>
    <col min="4115" max="4115" width="4.42578125" style="1" customWidth="1"/>
    <col min="4116" max="4116" width="5.140625" style="1" customWidth="1"/>
    <col min="4117" max="4117" width="5.42578125" style="1" customWidth="1"/>
    <col min="4118" max="4118" width="4.85546875" style="1" customWidth="1"/>
    <col min="4119" max="4119" width="5.140625" style="1" customWidth="1"/>
    <col min="4120" max="4120" width="5.42578125" style="1" customWidth="1"/>
    <col min="4121" max="4121" width="4.140625" style="1" customWidth="1"/>
    <col min="4122" max="4122" width="5.5703125" style="1" customWidth="1"/>
    <col min="4123" max="4123" width="9.28515625" style="1" customWidth="1"/>
    <col min="4124" max="4125" width="7" style="1" customWidth="1"/>
    <col min="4126" max="4126" width="18.140625" style="1" customWidth="1"/>
    <col min="4127" max="4127" width="5" style="1" customWidth="1"/>
    <col min="4128" max="4128" width="4.42578125" style="1" customWidth="1"/>
    <col min="4129" max="4130" width="5.28515625" style="1" customWidth="1"/>
    <col min="4131" max="4131" width="4.85546875" style="1" customWidth="1"/>
    <col min="4132" max="4132" width="5.42578125" style="1" customWidth="1"/>
    <col min="4133" max="4133" width="5.140625" style="1" customWidth="1"/>
    <col min="4134" max="4134" width="5" style="1" customWidth="1"/>
    <col min="4135" max="4135" width="5.7109375" style="1" customWidth="1"/>
    <col min="4136" max="4136" width="3.85546875" style="1" customWidth="1"/>
    <col min="4137" max="4137" width="5.28515625" style="1" customWidth="1"/>
    <col min="4138" max="4138" width="6.28515625" style="1" customWidth="1"/>
    <col min="4139" max="4139" width="4.5703125" style="1" customWidth="1"/>
    <col min="4140" max="4140" width="5" style="1" customWidth="1"/>
    <col min="4141" max="4141" width="5.85546875" style="1" customWidth="1"/>
    <col min="4142" max="4143" width="4.85546875" style="1" customWidth="1"/>
    <col min="4144" max="4144" width="5.140625" style="1" customWidth="1"/>
    <col min="4145" max="4145" width="8.7109375" style="1" customWidth="1"/>
    <col min="4146" max="4147" width="6.7109375" style="1" customWidth="1"/>
    <col min="4148" max="4148" width="5.7109375" style="1" customWidth="1"/>
    <col min="4149" max="4149" width="19" style="1" customWidth="1"/>
    <col min="4150" max="4156" width="5.7109375" style="1" customWidth="1"/>
    <col min="4157" max="4157" width="5" style="1" customWidth="1"/>
    <col min="4158" max="4164" width="5.7109375" style="1" customWidth="1"/>
    <col min="4165" max="4165" width="7.140625" style="1" customWidth="1"/>
    <col min="4166" max="4166" width="7.28515625" style="1" customWidth="1"/>
    <col min="4167" max="4175" width="5.7109375" style="1" customWidth="1"/>
    <col min="4176" max="4176" width="5.140625" style="1" customWidth="1"/>
    <col min="4177" max="4179" width="5.7109375" style="1" customWidth="1"/>
    <col min="4180" max="4180" width="7.7109375" style="1" customWidth="1"/>
    <col min="4181" max="4181" width="7" style="1" customWidth="1"/>
    <col min="4182" max="4182" width="6.85546875" style="1" customWidth="1"/>
    <col min="4183" max="4183" width="18.7109375" style="1" customWidth="1"/>
    <col min="4184" max="4354" width="8.42578125" style="1"/>
    <col min="4355" max="4355" width="11.5703125" style="1" customWidth="1"/>
    <col min="4356" max="4356" width="19.5703125" style="1" customWidth="1"/>
    <col min="4357" max="4357" width="10.7109375" style="1" customWidth="1"/>
    <col min="4358" max="4358" width="9.7109375" style="1" customWidth="1"/>
    <col min="4359" max="4363" width="8.140625" style="1" customWidth="1"/>
    <col min="4364" max="4364" width="10" style="1" customWidth="1"/>
    <col min="4365" max="4365" width="8.140625" style="1" customWidth="1"/>
    <col min="4366" max="4366" width="18.5703125" style="1" customWidth="1"/>
    <col min="4367" max="4367" width="6.140625" style="1" customWidth="1"/>
    <col min="4368" max="4368" width="4.140625" style="1" customWidth="1"/>
    <col min="4369" max="4369" width="5.5703125" style="1" customWidth="1"/>
    <col min="4370" max="4370" width="5.85546875" style="1" customWidth="1"/>
    <col min="4371" max="4371" width="4.42578125" style="1" customWidth="1"/>
    <col min="4372" max="4372" width="5.140625" style="1" customWidth="1"/>
    <col min="4373" max="4373" width="5.42578125" style="1" customWidth="1"/>
    <col min="4374" max="4374" width="4.85546875" style="1" customWidth="1"/>
    <col min="4375" max="4375" width="5.140625" style="1" customWidth="1"/>
    <col min="4376" max="4376" width="5.42578125" style="1" customWidth="1"/>
    <col min="4377" max="4377" width="4.140625" style="1" customWidth="1"/>
    <col min="4378" max="4378" width="5.5703125" style="1" customWidth="1"/>
    <col min="4379" max="4379" width="9.28515625" style="1" customWidth="1"/>
    <col min="4380" max="4381" width="7" style="1" customWidth="1"/>
    <col min="4382" max="4382" width="18.140625" style="1" customWidth="1"/>
    <col min="4383" max="4383" width="5" style="1" customWidth="1"/>
    <col min="4384" max="4384" width="4.42578125" style="1" customWidth="1"/>
    <col min="4385" max="4386" width="5.28515625" style="1" customWidth="1"/>
    <col min="4387" max="4387" width="4.85546875" style="1" customWidth="1"/>
    <col min="4388" max="4388" width="5.42578125" style="1" customWidth="1"/>
    <col min="4389" max="4389" width="5.140625" style="1" customWidth="1"/>
    <col min="4390" max="4390" width="5" style="1" customWidth="1"/>
    <col min="4391" max="4391" width="5.7109375" style="1" customWidth="1"/>
    <col min="4392" max="4392" width="3.85546875" style="1" customWidth="1"/>
    <col min="4393" max="4393" width="5.28515625" style="1" customWidth="1"/>
    <col min="4394" max="4394" width="6.28515625" style="1" customWidth="1"/>
    <col min="4395" max="4395" width="4.5703125" style="1" customWidth="1"/>
    <col min="4396" max="4396" width="5" style="1" customWidth="1"/>
    <col min="4397" max="4397" width="5.85546875" style="1" customWidth="1"/>
    <col min="4398" max="4399" width="4.85546875" style="1" customWidth="1"/>
    <col min="4400" max="4400" width="5.140625" style="1" customWidth="1"/>
    <col min="4401" max="4401" width="8.7109375" style="1" customWidth="1"/>
    <col min="4402" max="4403" width="6.7109375" style="1" customWidth="1"/>
    <col min="4404" max="4404" width="5.7109375" style="1" customWidth="1"/>
    <col min="4405" max="4405" width="19" style="1" customWidth="1"/>
    <col min="4406" max="4412" width="5.7109375" style="1" customWidth="1"/>
    <col min="4413" max="4413" width="5" style="1" customWidth="1"/>
    <col min="4414" max="4420" width="5.7109375" style="1" customWidth="1"/>
    <col min="4421" max="4421" width="7.140625" style="1" customWidth="1"/>
    <col min="4422" max="4422" width="7.28515625" style="1" customWidth="1"/>
    <col min="4423" max="4431" width="5.7109375" style="1" customWidth="1"/>
    <col min="4432" max="4432" width="5.140625" style="1" customWidth="1"/>
    <col min="4433" max="4435" width="5.7109375" style="1" customWidth="1"/>
    <col min="4436" max="4436" width="7.7109375" style="1" customWidth="1"/>
    <col min="4437" max="4437" width="7" style="1" customWidth="1"/>
    <col min="4438" max="4438" width="6.85546875" style="1" customWidth="1"/>
    <col min="4439" max="4439" width="18.7109375" style="1" customWidth="1"/>
    <col min="4440" max="4610" width="8.42578125" style="1"/>
    <col min="4611" max="4611" width="11.5703125" style="1" customWidth="1"/>
    <col min="4612" max="4612" width="19.5703125" style="1" customWidth="1"/>
    <col min="4613" max="4613" width="10.7109375" style="1" customWidth="1"/>
    <col min="4614" max="4614" width="9.7109375" style="1" customWidth="1"/>
    <col min="4615" max="4619" width="8.140625" style="1" customWidth="1"/>
    <col min="4620" max="4620" width="10" style="1" customWidth="1"/>
    <col min="4621" max="4621" width="8.140625" style="1" customWidth="1"/>
    <col min="4622" max="4622" width="18.5703125" style="1" customWidth="1"/>
    <col min="4623" max="4623" width="6.140625" style="1" customWidth="1"/>
    <col min="4624" max="4624" width="4.140625" style="1" customWidth="1"/>
    <col min="4625" max="4625" width="5.5703125" style="1" customWidth="1"/>
    <col min="4626" max="4626" width="5.85546875" style="1" customWidth="1"/>
    <col min="4627" max="4627" width="4.42578125" style="1" customWidth="1"/>
    <col min="4628" max="4628" width="5.140625" style="1" customWidth="1"/>
    <col min="4629" max="4629" width="5.42578125" style="1" customWidth="1"/>
    <col min="4630" max="4630" width="4.85546875" style="1" customWidth="1"/>
    <col min="4631" max="4631" width="5.140625" style="1" customWidth="1"/>
    <col min="4632" max="4632" width="5.42578125" style="1" customWidth="1"/>
    <col min="4633" max="4633" width="4.140625" style="1" customWidth="1"/>
    <col min="4634" max="4634" width="5.5703125" style="1" customWidth="1"/>
    <col min="4635" max="4635" width="9.28515625" style="1" customWidth="1"/>
    <col min="4636" max="4637" width="7" style="1" customWidth="1"/>
    <col min="4638" max="4638" width="18.140625" style="1" customWidth="1"/>
    <col min="4639" max="4639" width="5" style="1" customWidth="1"/>
    <col min="4640" max="4640" width="4.42578125" style="1" customWidth="1"/>
    <col min="4641" max="4642" width="5.28515625" style="1" customWidth="1"/>
    <col min="4643" max="4643" width="4.85546875" style="1" customWidth="1"/>
    <col min="4644" max="4644" width="5.42578125" style="1" customWidth="1"/>
    <col min="4645" max="4645" width="5.140625" style="1" customWidth="1"/>
    <col min="4646" max="4646" width="5" style="1" customWidth="1"/>
    <col min="4647" max="4647" width="5.7109375" style="1" customWidth="1"/>
    <col min="4648" max="4648" width="3.85546875" style="1" customWidth="1"/>
    <col min="4649" max="4649" width="5.28515625" style="1" customWidth="1"/>
    <col min="4650" max="4650" width="6.28515625" style="1" customWidth="1"/>
    <col min="4651" max="4651" width="4.5703125" style="1" customWidth="1"/>
    <col min="4652" max="4652" width="5" style="1" customWidth="1"/>
    <col min="4653" max="4653" width="5.85546875" style="1" customWidth="1"/>
    <col min="4654" max="4655" width="4.85546875" style="1" customWidth="1"/>
    <col min="4656" max="4656" width="5.140625" style="1" customWidth="1"/>
    <col min="4657" max="4657" width="8.7109375" style="1" customWidth="1"/>
    <col min="4658" max="4659" width="6.7109375" style="1" customWidth="1"/>
    <col min="4660" max="4660" width="5.7109375" style="1" customWidth="1"/>
    <col min="4661" max="4661" width="19" style="1" customWidth="1"/>
    <col min="4662" max="4668" width="5.7109375" style="1" customWidth="1"/>
    <col min="4669" max="4669" width="5" style="1" customWidth="1"/>
    <col min="4670" max="4676" width="5.7109375" style="1" customWidth="1"/>
    <col min="4677" max="4677" width="7.140625" style="1" customWidth="1"/>
    <col min="4678" max="4678" width="7.28515625" style="1" customWidth="1"/>
    <col min="4679" max="4687" width="5.7109375" style="1" customWidth="1"/>
    <col min="4688" max="4688" width="5.140625" style="1" customWidth="1"/>
    <col min="4689" max="4691" width="5.7109375" style="1" customWidth="1"/>
    <col min="4692" max="4692" width="7.7109375" style="1" customWidth="1"/>
    <col min="4693" max="4693" width="7" style="1" customWidth="1"/>
    <col min="4694" max="4694" width="6.85546875" style="1" customWidth="1"/>
    <col min="4695" max="4695" width="18.7109375" style="1" customWidth="1"/>
    <col min="4696" max="4866" width="8.42578125" style="1"/>
    <col min="4867" max="4867" width="11.5703125" style="1" customWidth="1"/>
    <col min="4868" max="4868" width="19.5703125" style="1" customWidth="1"/>
    <col min="4869" max="4869" width="10.7109375" style="1" customWidth="1"/>
    <col min="4870" max="4870" width="9.7109375" style="1" customWidth="1"/>
    <col min="4871" max="4875" width="8.140625" style="1" customWidth="1"/>
    <col min="4876" max="4876" width="10" style="1" customWidth="1"/>
    <col min="4877" max="4877" width="8.140625" style="1" customWidth="1"/>
    <col min="4878" max="4878" width="18.5703125" style="1" customWidth="1"/>
    <col min="4879" max="4879" width="6.140625" style="1" customWidth="1"/>
    <col min="4880" max="4880" width="4.140625" style="1" customWidth="1"/>
    <col min="4881" max="4881" width="5.5703125" style="1" customWidth="1"/>
    <col min="4882" max="4882" width="5.85546875" style="1" customWidth="1"/>
    <col min="4883" max="4883" width="4.42578125" style="1" customWidth="1"/>
    <col min="4884" max="4884" width="5.140625" style="1" customWidth="1"/>
    <col min="4885" max="4885" width="5.42578125" style="1" customWidth="1"/>
    <col min="4886" max="4886" width="4.85546875" style="1" customWidth="1"/>
    <col min="4887" max="4887" width="5.140625" style="1" customWidth="1"/>
    <col min="4888" max="4888" width="5.42578125" style="1" customWidth="1"/>
    <col min="4889" max="4889" width="4.140625" style="1" customWidth="1"/>
    <col min="4890" max="4890" width="5.5703125" style="1" customWidth="1"/>
    <col min="4891" max="4891" width="9.28515625" style="1" customWidth="1"/>
    <col min="4892" max="4893" width="7" style="1" customWidth="1"/>
    <col min="4894" max="4894" width="18.140625" style="1" customWidth="1"/>
    <col min="4895" max="4895" width="5" style="1" customWidth="1"/>
    <col min="4896" max="4896" width="4.42578125" style="1" customWidth="1"/>
    <col min="4897" max="4898" width="5.28515625" style="1" customWidth="1"/>
    <col min="4899" max="4899" width="4.85546875" style="1" customWidth="1"/>
    <col min="4900" max="4900" width="5.42578125" style="1" customWidth="1"/>
    <col min="4901" max="4901" width="5.140625" style="1" customWidth="1"/>
    <col min="4902" max="4902" width="5" style="1" customWidth="1"/>
    <col min="4903" max="4903" width="5.7109375" style="1" customWidth="1"/>
    <col min="4904" max="4904" width="3.85546875" style="1" customWidth="1"/>
    <col min="4905" max="4905" width="5.28515625" style="1" customWidth="1"/>
    <col min="4906" max="4906" width="6.28515625" style="1" customWidth="1"/>
    <col min="4907" max="4907" width="4.5703125" style="1" customWidth="1"/>
    <col min="4908" max="4908" width="5" style="1" customWidth="1"/>
    <col min="4909" max="4909" width="5.85546875" style="1" customWidth="1"/>
    <col min="4910" max="4911" width="4.85546875" style="1" customWidth="1"/>
    <col min="4912" max="4912" width="5.140625" style="1" customWidth="1"/>
    <col min="4913" max="4913" width="8.7109375" style="1" customWidth="1"/>
    <col min="4914" max="4915" width="6.7109375" style="1" customWidth="1"/>
    <col min="4916" max="4916" width="5.7109375" style="1" customWidth="1"/>
    <col min="4917" max="4917" width="19" style="1" customWidth="1"/>
    <col min="4918" max="4924" width="5.7109375" style="1" customWidth="1"/>
    <col min="4925" max="4925" width="5" style="1" customWidth="1"/>
    <col min="4926" max="4932" width="5.7109375" style="1" customWidth="1"/>
    <col min="4933" max="4933" width="7.140625" style="1" customWidth="1"/>
    <col min="4934" max="4934" width="7.28515625" style="1" customWidth="1"/>
    <col min="4935" max="4943" width="5.7109375" style="1" customWidth="1"/>
    <col min="4944" max="4944" width="5.140625" style="1" customWidth="1"/>
    <col min="4945" max="4947" width="5.7109375" style="1" customWidth="1"/>
    <col min="4948" max="4948" width="7.7109375" style="1" customWidth="1"/>
    <col min="4949" max="4949" width="7" style="1" customWidth="1"/>
    <col min="4950" max="4950" width="6.85546875" style="1" customWidth="1"/>
    <col min="4951" max="4951" width="18.7109375" style="1" customWidth="1"/>
    <col min="4952" max="5122" width="8.42578125" style="1"/>
    <col min="5123" max="5123" width="11.5703125" style="1" customWidth="1"/>
    <col min="5124" max="5124" width="19.5703125" style="1" customWidth="1"/>
    <col min="5125" max="5125" width="10.7109375" style="1" customWidth="1"/>
    <col min="5126" max="5126" width="9.7109375" style="1" customWidth="1"/>
    <col min="5127" max="5131" width="8.140625" style="1" customWidth="1"/>
    <col min="5132" max="5132" width="10" style="1" customWidth="1"/>
    <col min="5133" max="5133" width="8.140625" style="1" customWidth="1"/>
    <col min="5134" max="5134" width="18.5703125" style="1" customWidth="1"/>
    <col min="5135" max="5135" width="6.140625" style="1" customWidth="1"/>
    <col min="5136" max="5136" width="4.140625" style="1" customWidth="1"/>
    <col min="5137" max="5137" width="5.5703125" style="1" customWidth="1"/>
    <col min="5138" max="5138" width="5.85546875" style="1" customWidth="1"/>
    <col min="5139" max="5139" width="4.42578125" style="1" customWidth="1"/>
    <col min="5140" max="5140" width="5.140625" style="1" customWidth="1"/>
    <col min="5141" max="5141" width="5.42578125" style="1" customWidth="1"/>
    <col min="5142" max="5142" width="4.85546875" style="1" customWidth="1"/>
    <col min="5143" max="5143" width="5.140625" style="1" customWidth="1"/>
    <col min="5144" max="5144" width="5.42578125" style="1" customWidth="1"/>
    <col min="5145" max="5145" width="4.140625" style="1" customWidth="1"/>
    <col min="5146" max="5146" width="5.5703125" style="1" customWidth="1"/>
    <col min="5147" max="5147" width="9.28515625" style="1" customWidth="1"/>
    <col min="5148" max="5149" width="7" style="1" customWidth="1"/>
    <col min="5150" max="5150" width="18.140625" style="1" customWidth="1"/>
    <col min="5151" max="5151" width="5" style="1" customWidth="1"/>
    <col min="5152" max="5152" width="4.42578125" style="1" customWidth="1"/>
    <col min="5153" max="5154" width="5.28515625" style="1" customWidth="1"/>
    <col min="5155" max="5155" width="4.85546875" style="1" customWidth="1"/>
    <col min="5156" max="5156" width="5.42578125" style="1" customWidth="1"/>
    <col min="5157" max="5157" width="5.140625" style="1" customWidth="1"/>
    <col min="5158" max="5158" width="5" style="1" customWidth="1"/>
    <col min="5159" max="5159" width="5.7109375" style="1" customWidth="1"/>
    <col min="5160" max="5160" width="3.85546875" style="1" customWidth="1"/>
    <col min="5161" max="5161" width="5.28515625" style="1" customWidth="1"/>
    <col min="5162" max="5162" width="6.28515625" style="1" customWidth="1"/>
    <col min="5163" max="5163" width="4.5703125" style="1" customWidth="1"/>
    <col min="5164" max="5164" width="5" style="1" customWidth="1"/>
    <col min="5165" max="5165" width="5.85546875" style="1" customWidth="1"/>
    <col min="5166" max="5167" width="4.85546875" style="1" customWidth="1"/>
    <col min="5168" max="5168" width="5.140625" style="1" customWidth="1"/>
    <col min="5169" max="5169" width="8.7109375" style="1" customWidth="1"/>
    <col min="5170" max="5171" width="6.7109375" style="1" customWidth="1"/>
    <col min="5172" max="5172" width="5.7109375" style="1" customWidth="1"/>
    <col min="5173" max="5173" width="19" style="1" customWidth="1"/>
    <col min="5174" max="5180" width="5.7109375" style="1" customWidth="1"/>
    <col min="5181" max="5181" width="5" style="1" customWidth="1"/>
    <col min="5182" max="5188" width="5.7109375" style="1" customWidth="1"/>
    <col min="5189" max="5189" width="7.140625" style="1" customWidth="1"/>
    <col min="5190" max="5190" width="7.28515625" style="1" customWidth="1"/>
    <col min="5191" max="5199" width="5.7109375" style="1" customWidth="1"/>
    <col min="5200" max="5200" width="5.140625" style="1" customWidth="1"/>
    <col min="5201" max="5203" width="5.7109375" style="1" customWidth="1"/>
    <col min="5204" max="5204" width="7.7109375" style="1" customWidth="1"/>
    <col min="5205" max="5205" width="7" style="1" customWidth="1"/>
    <col min="5206" max="5206" width="6.85546875" style="1" customWidth="1"/>
    <col min="5207" max="5207" width="18.7109375" style="1" customWidth="1"/>
    <col min="5208" max="5378" width="8.42578125" style="1"/>
    <col min="5379" max="5379" width="11.5703125" style="1" customWidth="1"/>
    <col min="5380" max="5380" width="19.5703125" style="1" customWidth="1"/>
    <col min="5381" max="5381" width="10.7109375" style="1" customWidth="1"/>
    <col min="5382" max="5382" width="9.7109375" style="1" customWidth="1"/>
    <col min="5383" max="5387" width="8.140625" style="1" customWidth="1"/>
    <col min="5388" max="5388" width="10" style="1" customWidth="1"/>
    <col min="5389" max="5389" width="8.140625" style="1" customWidth="1"/>
    <col min="5390" max="5390" width="18.5703125" style="1" customWidth="1"/>
    <col min="5391" max="5391" width="6.140625" style="1" customWidth="1"/>
    <col min="5392" max="5392" width="4.140625" style="1" customWidth="1"/>
    <col min="5393" max="5393" width="5.5703125" style="1" customWidth="1"/>
    <col min="5394" max="5394" width="5.85546875" style="1" customWidth="1"/>
    <col min="5395" max="5395" width="4.42578125" style="1" customWidth="1"/>
    <col min="5396" max="5396" width="5.140625" style="1" customWidth="1"/>
    <col min="5397" max="5397" width="5.42578125" style="1" customWidth="1"/>
    <col min="5398" max="5398" width="4.85546875" style="1" customWidth="1"/>
    <col min="5399" max="5399" width="5.140625" style="1" customWidth="1"/>
    <col min="5400" max="5400" width="5.42578125" style="1" customWidth="1"/>
    <col min="5401" max="5401" width="4.140625" style="1" customWidth="1"/>
    <col min="5402" max="5402" width="5.5703125" style="1" customWidth="1"/>
    <col min="5403" max="5403" width="9.28515625" style="1" customWidth="1"/>
    <col min="5404" max="5405" width="7" style="1" customWidth="1"/>
    <col min="5406" max="5406" width="18.140625" style="1" customWidth="1"/>
    <col min="5407" max="5407" width="5" style="1" customWidth="1"/>
    <col min="5408" max="5408" width="4.42578125" style="1" customWidth="1"/>
    <col min="5409" max="5410" width="5.28515625" style="1" customWidth="1"/>
    <col min="5411" max="5411" width="4.85546875" style="1" customWidth="1"/>
    <col min="5412" max="5412" width="5.42578125" style="1" customWidth="1"/>
    <col min="5413" max="5413" width="5.140625" style="1" customWidth="1"/>
    <col min="5414" max="5414" width="5" style="1" customWidth="1"/>
    <col min="5415" max="5415" width="5.7109375" style="1" customWidth="1"/>
    <col min="5416" max="5416" width="3.85546875" style="1" customWidth="1"/>
    <col min="5417" max="5417" width="5.28515625" style="1" customWidth="1"/>
    <col min="5418" max="5418" width="6.28515625" style="1" customWidth="1"/>
    <col min="5419" max="5419" width="4.5703125" style="1" customWidth="1"/>
    <col min="5420" max="5420" width="5" style="1" customWidth="1"/>
    <col min="5421" max="5421" width="5.85546875" style="1" customWidth="1"/>
    <col min="5422" max="5423" width="4.85546875" style="1" customWidth="1"/>
    <col min="5424" max="5424" width="5.140625" style="1" customWidth="1"/>
    <col min="5425" max="5425" width="8.7109375" style="1" customWidth="1"/>
    <col min="5426" max="5427" width="6.7109375" style="1" customWidth="1"/>
    <col min="5428" max="5428" width="5.7109375" style="1" customWidth="1"/>
    <col min="5429" max="5429" width="19" style="1" customWidth="1"/>
    <col min="5430" max="5436" width="5.7109375" style="1" customWidth="1"/>
    <col min="5437" max="5437" width="5" style="1" customWidth="1"/>
    <col min="5438" max="5444" width="5.7109375" style="1" customWidth="1"/>
    <col min="5445" max="5445" width="7.140625" style="1" customWidth="1"/>
    <col min="5446" max="5446" width="7.28515625" style="1" customWidth="1"/>
    <col min="5447" max="5455" width="5.7109375" style="1" customWidth="1"/>
    <col min="5456" max="5456" width="5.140625" style="1" customWidth="1"/>
    <col min="5457" max="5459" width="5.7109375" style="1" customWidth="1"/>
    <col min="5460" max="5460" width="7.7109375" style="1" customWidth="1"/>
    <col min="5461" max="5461" width="7" style="1" customWidth="1"/>
    <col min="5462" max="5462" width="6.85546875" style="1" customWidth="1"/>
    <col min="5463" max="5463" width="18.7109375" style="1" customWidth="1"/>
    <col min="5464" max="5634" width="8.42578125" style="1"/>
    <col min="5635" max="5635" width="11.5703125" style="1" customWidth="1"/>
    <col min="5636" max="5636" width="19.5703125" style="1" customWidth="1"/>
    <col min="5637" max="5637" width="10.7109375" style="1" customWidth="1"/>
    <col min="5638" max="5638" width="9.7109375" style="1" customWidth="1"/>
    <col min="5639" max="5643" width="8.140625" style="1" customWidth="1"/>
    <col min="5644" max="5644" width="10" style="1" customWidth="1"/>
    <col min="5645" max="5645" width="8.140625" style="1" customWidth="1"/>
    <col min="5646" max="5646" width="18.5703125" style="1" customWidth="1"/>
    <col min="5647" max="5647" width="6.140625" style="1" customWidth="1"/>
    <col min="5648" max="5648" width="4.140625" style="1" customWidth="1"/>
    <col min="5649" max="5649" width="5.5703125" style="1" customWidth="1"/>
    <col min="5650" max="5650" width="5.85546875" style="1" customWidth="1"/>
    <col min="5651" max="5651" width="4.42578125" style="1" customWidth="1"/>
    <col min="5652" max="5652" width="5.140625" style="1" customWidth="1"/>
    <col min="5653" max="5653" width="5.42578125" style="1" customWidth="1"/>
    <col min="5654" max="5654" width="4.85546875" style="1" customWidth="1"/>
    <col min="5655" max="5655" width="5.140625" style="1" customWidth="1"/>
    <col min="5656" max="5656" width="5.42578125" style="1" customWidth="1"/>
    <col min="5657" max="5657" width="4.140625" style="1" customWidth="1"/>
    <col min="5658" max="5658" width="5.5703125" style="1" customWidth="1"/>
    <col min="5659" max="5659" width="9.28515625" style="1" customWidth="1"/>
    <col min="5660" max="5661" width="7" style="1" customWidth="1"/>
    <col min="5662" max="5662" width="18.140625" style="1" customWidth="1"/>
    <col min="5663" max="5663" width="5" style="1" customWidth="1"/>
    <col min="5664" max="5664" width="4.42578125" style="1" customWidth="1"/>
    <col min="5665" max="5666" width="5.28515625" style="1" customWidth="1"/>
    <col min="5667" max="5667" width="4.85546875" style="1" customWidth="1"/>
    <col min="5668" max="5668" width="5.42578125" style="1" customWidth="1"/>
    <col min="5669" max="5669" width="5.140625" style="1" customWidth="1"/>
    <col min="5670" max="5670" width="5" style="1" customWidth="1"/>
    <col min="5671" max="5671" width="5.7109375" style="1" customWidth="1"/>
    <col min="5672" max="5672" width="3.85546875" style="1" customWidth="1"/>
    <col min="5673" max="5673" width="5.28515625" style="1" customWidth="1"/>
    <col min="5674" max="5674" width="6.28515625" style="1" customWidth="1"/>
    <col min="5675" max="5675" width="4.5703125" style="1" customWidth="1"/>
    <col min="5676" max="5676" width="5" style="1" customWidth="1"/>
    <col min="5677" max="5677" width="5.85546875" style="1" customWidth="1"/>
    <col min="5678" max="5679" width="4.85546875" style="1" customWidth="1"/>
    <col min="5680" max="5680" width="5.140625" style="1" customWidth="1"/>
    <col min="5681" max="5681" width="8.7109375" style="1" customWidth="1"/>
    <col min="5682" max="5683" width="6.7109375" style="1" customWidth="1"/>
    <col min="5684" max="5684" width="5.7109375" style="1" customWidth="1"/>
    <col min="5685" max="5685" width="19" style="1" customWidth="1"/>
    <col min="5686" max="5692" width="5.7109375" style="1" customWidth="1"/>
    <col min="5693" max="5693" width="5" style="1" customWidth="1"/>
    <col min="5694" max="5700" width="5.7109375" style="1" customWidth="1"/>
    <col min="5701" max="5701" width="7.140625" style="1" customWidth="1"/>
    <col min="5702" max="5702" width="7.28515625" style="1" customWidth="1"/>
    <col min="5703" max="5711" width="5.7109375" style="1" customWidth="1"/>
    <col min="5712" max="5712" width="5.140625" style="1" customWidth="1"/>
    <col min="5713" max="5715" width="5.7109375" style="1" customWidth="1"/>
    <col min="5716" max="5716" width="7.7109375" style="1" customWidth="1"/>
    <col min="5717" max="5717" width="7" style="1" customWidth="1"/>
    <col min="5718" max="5718" width="6.85546875" style="1" customWidth="1"/>
    <col min="5719" max="5719" width="18.7109375" style="1" customWidth="1"/>
    <col min="5720" max="5890" width="8.42578125" style="1"/>
    <col min="5891" max="5891" width="11.5703125" style="1" customWidth="1"/>
    <col min="5892" max="5892" width="19.5703125" style="1" customWidth="1"/>
    <col min="5893" max="5893" width="10.7109375" style="1" customWidth="1"/>
    <col min="5894" max="5894" width="9.7109375" style="1" customWidth="1"/>
    <col min="5895" max="5899" width="8.140625" style="1" customWidth="1"/>
    <col min="5900" max="5900" width="10" style="1" customWidth="1"/>
    <col min="5901" max="5901" width="8.140625" style="1" customWidth="1"/>
    <col min="5902" max="5902" width="18.5703125" style="1" customWidth="1"/>
    <col min="5903" max="5903" width="6.140625" style="1" customWidth="1"/>
    <col min="5904" max="5904" width="4.140625" style="1" customWidth="1"/>
    <col min="5905" max="5905" width="5.5703125" style="1" customWidth="1"/>
    <col min="5906" max="5906" width="5.85546875" style="1" customWidth="1"/>
    <col min="5907" max="5907" width="4.42578125" style="1" customWidth="1"/>
    <col min="5908" max="5908" width="5.140625" style="1" customWidth="1"/>
    <col min="5909" max="5909" width="5.42578125" style="1" customWidth="1"/>
    <col min="5910" max="5910" width="4.85546875" style="1" customWidth="1"/>
    <col min="5911" max="5911" width="5.140625" style="1" customWidth="1"/>
    <col min="5912" max="5912" width="5.42578125" style="1" customWidth="1"/>
    <col min="5913" max="5913" width="4.140625" style="1" customWidth="1"/>
    <col min="5914" max="5914" width="5.5703125" style="1" customWidth="1"/>
    <col min="5915" max="5915" width="9.28515625" style="1" customWidth="1"/>
    <col min="5916" max="5917" width="7" style="1" customWidth="1"/>
    <col min="5918" max="5918" width="18.140625" style="1" customWidth="1"/>
    <col min="5919" max="5919" width="5" style="1" customWidth="1"/>
    <col min="5920" max="5920" width="4.42578125" style="1" customWidth="1"/>
    <col min="5921" max="5922" width="5.28515625" style="1" customWidth="1"/>
    <col min="5923" max="5923" width="4.85546875" style="1" customWidth="1"/>
    <col min="5924" max="5924" width="5.42578125" style="1" customWidth="1"/>
    <col min="5925" max="5925" width="5.140625" style="1" customWidth="1"/>
    <col min="5926" max="5926" width="5" style="1" customWidth="1"/>
    <col min="5927" max="5927" width="5.7109375" style="1" customWidth="1"/>
    <col min="5928" max="5928" width="3.85546875" style="1" customWidth="1"/>
    <col min="5929" max="5929" width="5.28515625" style="1" customWidth="1"/>
    <col min="5930" max="5930" width="6.28515625" style="1" customWidth="1"/>
    <col min="5931" max="5931" width="4.5703125" style="1" customWidth="1"/>
    <col min="5932" max="5932" width="5" style="1" customWidth="1"/>
    <col min="5933" max="5933" width="5.85546875" style="1" customWidth="1"/>
    <col min="5934" max="5935" width="4.85546875" style="1" customWidth="1"/>
    <col min="5936" max="5936" width="5.140625" style="1" customWidth="1"/>
    <col min="5937" max="5937" width="8.7109375" style="1" customWidth="1"/>
    <col min="5938" max="5939" width="6.7109375" style="1" customWidth="1"/>
    <col min="5940" max="5940" width="5.7109375" style="1" customWidth="1"/>
    <col min="5941" max="5941" width="19" style="1" customWidth="1"/>
    <col min="5942" max="5948" width="5.7109375" style="1" customWidth="1"/>
    <col min="5949" max="5949" width="5" style="1" customWidth="1"/>
    <col min="5950" max="5956" width="5.7109375" style="1" customWidth="1"/>
    <col min="5957" max="5957" width="7.140625" style="1" customWidth="1"/>
    <col min="5958" max="5958" width="7.28515625" style="1" customWidth="1"/>
    <col min="5959" max="5967" width="5.7109375" style="1" customWidth="1"/>
    <col min="5968" max="5968" width="5.140625" style="1" customWidth="1"/>
    <col min="5969" max="5971" width="5.7109375" style="1" customWidth="1"/>
    <col min="5972" max="5972" width="7.7109375" style="1" customWidth="1"/>
    <col min="5973" max="5973" width="7" style="1" customWidth="1"/>
    <col min="5974" max="5974" width="6.85546875" style="1" customWidth="1"/>
    <col min="5975" max="5975" width="18.7109375" style="1" customWidth="1"/>
    <col min="5976" max="6146" width="8.42578125" style="1"/>
    <col min="6147" max="6147" width="11.5703125" style="1" customWidth="1"/>
    <col min="6148" max="6148" width="19.5703125" style="1" customWidth="1"/>
    <col min="6149" max="6149" width="10.7109375" style="1" customWidth="1"/>
    <col min="6150" max="6150" width="9.7109375" style="1" customWidth="1"/>
    <col min="6151" max="6155" width="8.140625" style="1" customWidth="1"/>
    <col min="6156" max="6156" width="10" style="1" customWidth="1"/>
    <col min="6157" max="6157" width="8.140625" style="1" customWidth="1"/>
    <col min="6158" max="6158" width="18.5703125" style="1" customWidth="1"/>
    <col min="6159" max="6159" width="6.140625" style="1" customWidth="1"/>
    <col min="6160" max="6160" width="4.140625" style="1" customWidth="1"/>
    <col min="6161" max="6161" width="5.5703125" style="1" customWidth="1"/>
    <col min="6162" max="6162" width="5.85546875" style="1" customWidth="1"/>
    <col min="6163" max="6163" width="4.42578125" style="1" customWidth="1"/>
    <col min="6164" max="6164" width="5.140625" style="1" customWidth="1"/>
    <col min="6165" max="6165" width="5.42578125" style="1" customWidth="1"/>
    <col min="6166" max="6166" width="4.85546875" style="1" customWidth="1"/>
    <col min="6167" max="6167" width="5.140625" style="1" customWidth="1"/>
    <col min="6168" max="6168" width="5.42578125" style="1" customWidth="1"/>
    <col min="6169" max="6169" width="4.140625" style="1" customWidth="1"/>
    <col min="6170" max="6170" width="5.5703125" style="1" customWidth="1"/>
    <col min="6171" max="6171" width="9.28515625" style="1" customWidth="1"/>
    <col min="6172" max="6173" width="7" style="1" customWidth="1"/>
    <col min="6174" max="6174" width="18.140625" style="1" customWidth="1"/>
    <col min="6175" max="6175" width="5" style="1" customWidth="1"/>
    <col min="6176" max="6176" width="4.42578125" style="1" customWidth="1"/>
    <col min="6177" max="6178" width="5.28515625" style="1" customWidth="1"/>
    <col min="6179" max="6179" width="4.85546875" style="1" customWidth="1"/>
    <col min="6180" max="6180" width="5.42578125" style="1" customWidth="1"/>
    <col min="6181" max="6181" width="5.140625" style="1" customWidth="1"/>
    <col min="6182" max="6182" width="5" style="1" customWidth="1"/>
    <col min="6183" max="6183" width="5.7109375" style="1" customWidth="1"/>
    <col min="6184" max="6184" width="3.85546875" style="1" customWidth="1"/>
    <col min="6185" max="6185" width="5.28515625" style="1" customWidth="1"/>
    <col min="6186" max="6186" width="6.28515625" style="1" customWidth="1"/>
    <col min="6187" max="6187" width="4.5703125" style="1" customWidth="1"/>
    <col min="6188" max="6188" width="5" style="1" customWidth="1"/>
    <col min="6189" max="6189" width="5.85546875" style="1" customWidth="1"/>
    <col min="6190" max="6191" width="4.85546875" style="1" customWidth="1"/>
    <col min="6192" max="6192" width="5.140625" style="1" customWidth="1"/>
    <col min="6193" max="6193" width="8.7109375" style="1" customWidth="1"/>
    <col min="6194" max="6195" width="6.7109375" style="1" customWidth="1"/>
    <col min="6196" max="6196" width="5.7109375" style="1" customWidth="1"/>
    <col min="6197" max="6197" width="19" style="1" customWidth="1"/>
    <col min="6198" max="6204" width="5.7109375" style="1" customWidth="1"/>
    <col min="6205" max="6205" width="5" style="1" customWidth="1"/>
    <col min="6206" max="6212" width="5.7109375" style="1" customWidth="1"/>
    <col min="6213" max="6213" width="7.140625" style="1" customWidth="1"/>
    <col min="6214" max="6214" width="7.28515625" style="1" customWidth="1"/>
    <col min="6215" max="6223" width="5.7109375" style="1" customWidth="1"/>
    <col min="6224" max="6224" width="5.140625" style="1" customWidth="1"/>
    <col min="6225" max="6227" width="5.7109375" style="1" customWidth="1"/>
    <col min="6228" max="6228" width="7.7109375" style="1" customWidth="1"/>
    <col min="6229" max="6229" width="7" style="1" customWidth="1"/>
    <col min="6230" max="6230" width="6.85546875" style="1" customWidth="1"/>
    <col min="6231" max="6231" width="18.7109375" style="1" customWidth="1"/>
    <col min="6232" max="6402" width="8.42578125" style="1"/>
    <col min="6403" max="6403" width="11.5703125" style="1" customWidth="1"/>
    <col min="6404" max="6404" width="19.5703125" style="1" customWidth="1"/>
    <col min="6405" max="6405" width="10.7109375" style="1" customWidth="1"/>
    <col min="6406" max="6406" width="9.7109375" style="1" customWidth="1"/>
    <col min="6407" max="6411" width="8.140625" style="1" customWidth="1"/>
    <col min="6412" max="6412" width="10" style="1" customWidth="1"/>
    <col min="6413" max="6413" width="8.140625" style="1" customWidth="1"/>
    <col min="6414" max="6414" width="18.5703125" style="1" customWidth="1"/>
    <col min="6415" max="6415" width="6.140625" style="1" customWidth="1"/>
    <col min="6416" max="6416" width="4.140625" style="1" customWidth="1"/>
    <col min="6417" max="6417" width="5.5703125" style="1" customWidth="1"/>
    <col min="6418" max="6418" width="5.85546875" style="1" customWidth="1"/>
    <col min="6419" max="6419" width="4.42578125" style="1" customWidth="1"/>
    <col min="6420" max="6420" width="5.140625" style="1" customWidth="1"/>
    <col min="6421" max="6421" width="5.42578125" style="1" customWidth="1"/>
    <col min="6422" max="6422" width="4.85546875" style="1" customWidth="1"/>
    <col min="6423" max="6423" width="5.140625" style="1" customWidth="1"/>
    <col min="6424" max="6424" width="5.42578125" style="1" customWidth="1"/>
    <col min="6425" max="6425" width="4.140625" style="1" customWidth="1"/>
    <col min="6426" max="6426" width="5.5703125" style="1" customWidth="1"/>
    <col min="6427" max="6427" width="9.28515625" style="1" customWidth="1"/>
    <col min="6428" max="6429" width="7" style="1" customWidth="1"/>
    <col min="6430" max="6430" width="18.140625" style="1" customWidth="1"/>
    <col min="6431" max="6431" width="5" style="1" customWidth="1"/>
    <col min="6432" max="6432" width="4.42578125" style="1" customWidth="1"/>
    <col min="6433" max="6434" width="5.28515625" style="1" customWidth="1"/>
    <col min="6435" max="6435" width="4.85546875" style="1" customWidth="1"/>
    <col min="6436" max="6436" width="5.42578125" style="1" customWidth="1"/>
    <col min="6437" max="6437" width="5.140625" style="1" customWidth="1"/>
    <col min="6438" max="6438" width="5" style="1" customWidth="1"/>
    <col min="6439" max="6439" width="5.7109375" style="1" customWidth="1"/>
    <col min="6440" max="6440" width="3.85546875" style="1" customWidth="1"/>
    <col min="6441" max="6441" width="5.28515625" style="1" customWidth="1"/>
    <col min="6442" max="6442" width="6.28515625" style="1" customWidth="1"/>
    <col min="6443" max="6443" width="4.5703125" style="1" customWidth="1"/>
    <col min="6444" max="6444" width="5" style="1" customWidth="1"/>
    <col min="6445" max="6445" width="5.85546875" style="1" customWidth="1"/>
    <col min="6446" max="6447" width="4.85546875" style="1" customWidth="1"/>
    <col min="6448" max="6448" width="5.140625" style="1" customWidth="1"/>
    <col min="6449" max="6449" width="8.7109375" style="1" customWidth="1"/>
    <col min="6450" max="6451" width="6.7109375" style="1" customWidth="1"/>
    <col min="6452" max="6452" width="5.7109375" style="1" customWidth="1"/>
    <col min="6453" max="6453" width="19" style="1" customWidth="1"/>
    <col min="6454" max="6460" width="5.7109375" style="1" customWidth="1"/>
    <col min="6461" max="6461" width="5" style="1" customWidth="1"/>
    <col min="6462" max="6468" width="5.7109375" style="1" customWidth="1"/>
    <col min="6469" max="6469" width="7.140625" style="1" customWidth="1"/>
    <col min="6470" max="6470" width="7.28515625" style="1" customWidth="1"/>
    <col min="6471" max="6479" width="5.7109375" style="1" customWidth="1"/>
    <col min="6480" max="6480" width="5.140625" style="1" customWidth="1"/>
    <col min="6481" max="6483" width="5.7109375" style="1" customWidth="1"/>
    <col min="6484" max="6484" width="7.7109375" style="1" customWidth="1"/>
    <col min="6485" max="6485" width="7" style="1" customWidth="1"/>
    <col min="6486" max="6486" width="6.85546875" style="1" customWidth="1"/>
    <col min="6487" max="6487" width="18.7109375" style="1" customWidth="1"/>
    <col min="6488" max="6658" width="8.42578125" style="1"/>
    <col min="6659" max="6659" width="11.5703125" style="1" customWidth="1"/>
    <col min="6660" max="6660" width="19.5703125" style="1" customWidth="1"/>
    <col min="6661" max="6661" width="10.7109375" style="1" customWidth="1"/>
    <col min="6662" max="6662" width="9.7109375" style="1" customWidth="1"/>
    <col min="6663" max="6667" width="8.140625" style="1" customWidth="1"/>
    <col min="6668" max="6668" width="10" style="1" customWidth="1"/>
    <col min="6669" max="6669" width="8.140625" style="1" customWidth="1"/>
    <col min="6670" max="6670" width="18.5703125" style="1" customWidth="1"/>
    <col min="6671" max="6671" width="6.140625" style="1" customWidth="1"/>
    <col min="6672" max="6672" width="4.140625" style="1" customWidth="1"/>
    <col min="6673" max="6673" width="5.5703125" style="1" customWidth="1"/>
    <col min="6674" max="6674" width="5.85546875" style="1" customWidth="1"/>
    <col min="6675" max="6675" width="4.42578125" style="1" customWidth="1"/>
    <col min="6676" max="6676" width="5.140625" style="1" customWidth="1"/>
    <col min="6677" max="6677" width="5.42578125" style="1" customWidth="1"/>
    <col min="6678" max="6678" width="4.85546875" style="1" customWidth="1"/>
    <col min="6679" max="6679" width="5.140625" style="1" customWidth="1"/>
    <col min="6680" max="6680" width="5.42578125" style="1" customWidth="1"/>
    <col min="6681" max="6681" width="4.140625" style="1" customWidth="1"/>
    <col min="6682" max="6682" width="5.5703125" style="1" customWidth="1"/>
    <col min="6683" max="6683" width="9.28515625" style="1" customWidth="1"/>
    <col min="6684" max="6685" width="7" style="1" customWidth="1"/>
    <col min="6686" max="6686" width="18.140625" style="1" customWidth="1"/>
    <col min="6687" max="6687" width="5" style="1" customWidth="1"/>
    <col min="6688" max="6688" width="4.42578125" style="1" customWidth="1"/>
    <col min="6689" max="6690" width="5.28515625" style="1" customWidth="1"/>
    <col min="6691" max="6691" width="4.85546875" style="1" customWidth="1"/>
    <col min="6692" max="6692" width="5.42578125" style="1" customWidth="1"/>
    <col min="6693" max="6693" width="5.140625" style="1" customWidth="1"/>
    <col min="6694" max="6694" width="5" style="1" customWidth="1"/>
    <col min="6695" max="6695" width="5.7109375" style="1" customWidth="1"/>
    <col min="6696" max="6696" width="3.85546875" style="1" customWidth="1"/>
    <col min="6697" max="6697" width="5.28515625" style="1" customWidth="1"/>
    <col min="6698" max="6698" width="6.28515625" style="1" customWidth="1"/>
    <col min="6699" max="6699" width="4.5703125" style="1" customWidth="1"/>
    <col min="6700" max="6700" width="5" style="1" customWidth="1"/>
    <col min="6701" max="6701" width="5.85546875" style="1" customWidth="1"/>
    <col min="6702" max="6703" width="4.85546875" style="1" customWidth="1"/>
    <col min="6704" max="6704" width="5.140625" style="1" customWidth="1"/>
    <col min="6705" max="6705" width="8.7109375" style="1" customWidth="1"/>
    <col min="6706" max="6707" width="6.7109375" style="1" customWidth="1"/>
    <col min="6708" max="6708" width="5.7109375" style="1" customWidth="1"/>
    <col min="6709" max="6709" width="19" style="1" customWidth="1"/>
    <col min="6710" max="6716" width="5.7109375" style="1" customWidth="1"/>
    <col min="6717" max="6717" width="5" style="1" customWidth="1"/>
    <col min="6718" max="6724" width="5.7109375" style="1" customWidth="1"/>
    <col min="6725" max="6725" width="7.140625" style="1" customWidth="1"/>
    <col min="6726" max="6726" width="7.28515625" style="1" customWidth="1"/>
    <col min="6727" max="6735" width="5.7109375" style="1" customWidth="1"/>
    <col min="6736" max="6736" width="5.140625" style="1" customWidth="1"/>
    <col min="6737" max="6739" width="5.7109375" style="1" customWidth="1"/>
    <col min="6740" max="6740" width="7.7109375" style="1" customWidth="1"/>
    <col min="6741" max="6741" width="7" style="1" customWidth="1"/>
    <col min="6742" max="6742" width="6.85546875" style="1" customWidth="1"/>
    <col min="6743" max="6743" width="18.7109375" style="1" customWidth="1"/>
    <col min="6744" max="6914" width="8.42578125" style="1"/>
    <col min="6915" max="6915" width="11.5703125" style="1" customWidth="1"/>
    <col min="6916" max="6916" width="19.5703125" style="1" customWidth="1"/>
    <col min="6917" max="6917" width="10.7109375" style="1" customWidth="1"/>
    <col min="6918" max="6918" width="9.7109375" style="1" customWidth="1"/>
    <col min="6919" max="6923" width="8.140625" style="1" customWidth="1"/>
    <col min="6924" max="6924" width="10" style="1" customWidth="1"/>
    <col min="6925" max="6925" width="8.140625" style="1" customWidth="1"/>
    <col min="6926" max="6926" width="18.5703125" style="1" customWidth="1"/>
    <col min="6927" max="6927" width="6.140625" style="1" customWidth="1"/>
    <col min="6928" max="6928" width="4.140625" style="1" customWidth="1"/>
    <col min="6929" max="6929" width="5.5703125" style="1" customWidth="1"/>
    <col min="6930" max="6930" width="5.85546875" style="1" customWidth="1"/>
    <col min="6931" max="6931" width="4.42578125" style="1" customWidth="1"/>
    <col min="6932" max="6932" width="5.140625" style="1" customWidth="1"/>
    <col min="6933" max="6933" width="5.42578125" style="1" customWidth="1"/>
    <col min="6934" max="6934" width="4.85546875" style="1" customWidth="1"/>
    <col min="6935" max="6935" width="5.140625" style="1" customWidth="1"/>
    <col min="6936" max="6936" width="5.42578125" style="1" customWidth="1"/>
    <col min="6937" max="6937" width="4.140625" style="1" customWidth="1"/>
    <col min="6938" max="6938" width="5.5703125" style="1" customWidth="1"/>
    <col min="6939" max="6939" width="9.28515625" style="1" customWidth="1"/>
    <col min="6940" max="6941" width="7" style="1" customWidth="1"/>
    <col min="6942" max="6942" width="18.140625" style="1" customWidth="1"/>
    <col min="6943" max="6943" width="5" style="1" customWidth="1"/>
    <col min="6944" max="6944" width="4.42578125" style="1" customWidth="1"/>
    <col min="6945" max="6946" width="5.28515625" style="1" customWidth="1"/>
    <col min="6947" max="6947" width="4.85546875" style="1" customWidth="1"/>
    <col min="6948" max="6948" width="5.42578125" style="1" customWidth="1"/>
    <col min="6949" max="6949" width="5.140625" style="1" customWidth="1"/>
    <col min="6950" max="6950" width="5" style="1" customWidth="1"/>
    <col min="6951" max="6951" width="5.7109375" style="1" customWidth="1"/>
    <col min="6952" max="6952" width="3.85546875" style="1" customWidth="1"/>
    <col min="6953" max="6953" width="5.28515625" style="1" customWidth="1"/>
    <col min="6954" max="6954" width="6.28515625" style="1" customWidth="1"/>
    <col min="6955" max="6955" width="4.5703125" style="1" customWidth="1"/>
    <col min="6956" max="6956" width="5" style="1" customWidth="1"/>
    <col min="6957" max="6957" width="5.85546875" style="1" customWidth="1"/>
    <col min="6958" max="6959" width="4.85546875" style="1" customWidth="1"/>
    <col min="6960" max="6960" width="5.140625" style="1" customWidth="1"/>
    <col min="6961" max="6961" width="8.7109375" style="1" customWidth="1"/>
    <col min="6962" max="6963" width="6.7109375" style="1" customWidth="1"/>
    <col min="6964" max="6964" width="5.7109375" style="1" customWidth="1"/>
    <col min="6965" max="6965" width="19" style="1" customWidth="1"/>
    <col min="6966" max="6972" width="5.7109375" style="1" customWidth="1"/>
    <col min="6973" max="6973" width="5" style="1" customWidth="1"/>
    <col min="6974" max="6980" width="5.7109375" style="1" customWidth="1"/>
    <col min="6981" max="6981" width="7.140625" style="1" customWidth="1"/>
    <col min="6982" max="6982" width="7.28515625" style="1" customWidth="1"/>
    <col min="6983" max="6991" width="5.7109375" style="1" customWidth="1"/>
    <col min="6992" max="6992" width="5.140625" style="1" customWidth="1"/>
    <col min="6993" max="6995" width="5.7109375" style="1" customWidth="1"/>
    <col min="6996" max="6996" width="7.7109375" style="1" customWidth="1"/>
    <col min="6997" max="6997" width="7" style="1" customWidth="1"/>
    <col min="6998" max="6998" width="6.85546875" style="1" customWidth="1"/>
    <col min="6999" max="6999" width="18.7109375" style="1" customWidth="1"/>
    <col min="7000" max="7170" width="8.42578125" style="1"/>
    <col min="7171" max="7171" width="11.5703125" style="1" customWidth="1"/>
    <col min="7172" max="7172" width="19.5703125" style="1" customWidth="1"/>
    <col min="7173" max="7173" width="10.7109375" style="1" customWidth="1"/>
    <col min="7174" max="7174" width="9.7109375" style="1" customWidth="1"/>
    <col min="7175" max="7179" width="8.140625" style="1" customWidth="1"/>
    <col min="7180" max="7180" width="10" style="1" customWidth="1"/>
    <col min="7181" max="7181" width="8.140625" style="1" customWidth="1"/>
    <col min="7182" max="7182" width="18.5703125" style="1" customWidth="1"/>
    <col min="7183" max="7183" width="6.140625" style="1" customWidth="1"/>
    <col min="7184" max="7184" width="4.140625" style="1" customWidth="1"/>
    <col min="7185" max="7185" width="5.5703125" style="1" customWidth="1"/>
    <col min="7186" max="7186" width="5.85546875" style="1" customWidth="1"/>
    <col min="7187" max="7187" width="4.42578125" style="1" customWidth="1"/>
    <col min="7188" max="7188" width="5.140625" style="1" customWidth="1"/>
    <col min="7189" max="7189" width="5.42578125" style="1" customWidth="1"/>
    <col min="7190" max="7190" width="4.85546875" style="1" customWidth="1"/>
    <col min="7191" max="7191" width="5.140625" style="1" customWidth="1"/>
    <col min="7192" max="7192" width="5.42578125" style="1" customWidth="1"/>
    <col min="7193" max="7193" width="4.140625" style="1" customWidth="1"/>
    <col min="7194" max="7194" width="5.5703125" style="1" customWidth="1"/>
    <col min="7195" max="7195" width="9.28515625" style="1" customWidth="1"/>
    <col min="7196" max="7197" width="7" style="1" customWidth="1"/>
    <col min="7198" max="7198" width="18.140625" style="1" customWidth="1"/>
    <col min="7199" max="7199" width="5" style="1" customWidth="1"/>
    <col min="7200" max="7200" width="4.42578125" style="1" customWidth="1"/>
    <col min="7201" max="7202" width="5.28515625" style="1" customWidth="1"/>
    <col min="7203" max="7203" width="4.85546875" style="1" customWidth="1"/>
    <col min="7204" max="7204" width="5.42578125" style="1" customWidth="1"/>
    <col min="7205" max="7205" width="5.140625" style="1" customWidth="1"/>
    <col min="7206" max="7206" width="5" style="1" customWidth="1"/>
    <col min="7207" max="7207" width="5.7109375" style="1" customWidth="1"/>
    <col min="7208" max="7208" width="3.85546875" style="1" customWidth="1"/>
    <col min="7209" max="7209" width="5.28515625" style="1" customWidth="1"/>
    <col min="7210" max="7210" width="6.28515625" style="1" customWidth="1"/>
    <col min="7211" max="7211" width="4.5703125" style="1" customWidth="1"/>
    <col min="7212" max="7212" width="5" style="1" customWidth="1"/>
    <col min="7213" max="7213" width="5.85546875" style="1" customWidth="1"/>
    <col min="7214" max="7215" width="4.85546875" style="1" customWidth="1"/>
    <col min="7216" max="7216" width="5.140625" style="1" customWidth="1"/>
    <col min="7217" max="7217" width="8.7109375" style="1" customWidth="1"/>
    <col min="7218" max="7219" width="6.7109375" style="1" customWidth="1"/>
    <col min="7220" max="7220" width="5.7109375" style="1" customWidth="1"/>
    <col min="7221" max="7221" width="19" style="1" customWidth="1"/>
    <col min="7222" max="7228" width="5.7109375" style="1" customWidth="1"/>
    <col min="7229" max="7229" width="5" style="1" customWidth="1"/>
    <col min="7230" max="7236" width="5.7109375" style="1" customWidth="1"/>
    <col min="7237" max="7237" width="7.140625" style="1" customWidth="1"/>
    <col min="7238" max="7238" width="7.28515625" style="1" customWidth="1"/>
    <col min="7239" max="7247" width="5.7109375" style="1" customWidth="1"/>
    <col min="7248" max="7248" width="5.140625" style="1" customWidth="1"/>
    <col min="7249" max="7251" width="5.7109375" style="1" customWidth="1"/>
    <col min="7252" max="7252" width="7.7109375" style="1" customWidth="1"/>
    <col min="7253" max="7253" width="7" style="1" customWidth="1"/>
    <col min="7254" max="7254" width="6.85546875" style="1" customWidth="1"/>
    <col min="7255" max="7255" width="18.7109375" style="1" customWidth="1"/>
    <col min="7256" max="7426" width="8.42578125" style="1"/>
    <col min="7427" max="7427" width="11.5703125" style="1" customWidth="1"/>
    <col min="7428" max="7428" width="19.5703125" style="1" customWidth="1"/>
    <col min="7429" max="7429" width="10.7109375" style="1" customWidth="1"/>
    <col min="7430" max="7430" width="9.7109375" style="1" customWidth="1"/>
    <col min="7431" max="7435" width="8.140625" style="1" customWidth="1"/>
    <col min="7436" max="7436" width="10" style="1" customWidth="1"/>
    <col min="7437" max="7437" width="8.140625" style="1" customWidth="1"/>
    <col min="7438" max="7438" width="18.5703125" style="1" customWidth="1"/>
    <col min="7439" max="7439" width="6.140625" style="1" customWidth="1"/>
    <col min="7440" max="7440" width="4.140625" style="1" customWidth="1"/>
    <col min="7441" max="7441" width="5.5703125" style="1" customWidth="1"/>
    <col min="7442" max="7442" width="5.85546875" style="1" customWidth="1"/>
    <col min="7443" max="7443" width="4.42578125" style="1" customWidth="1"/>
    <col min="7444" max="7444" width="5.140625" style="1" customWidth="1"/>
    <col min="7445" max="7445" width="5.42578125" style="1" customWidth="1"/>
    <col min="7446" max="7446" width="4.85546875" style="1" customWidth="1"/>
    <col min="7447" max="7447" width="5.140625" style="1" customWidth="1"/>
    <col min="7448" max="7448" width="5.42578125" style="1" customWidth="1"/>
    <col min="7449" max="7449" width="4.140625" style="1" customWidth="1"/>
    <col min="7450" max="7450" width="5.5703125" style="1" customWidth="1"/>
    <col min="7451" max="7451" width="9.28515625" style="1" customWidth="1"/>
    <col min="7452" max="7453" width="7" style="1" customWidth="1"/>
    <col min="7454" max="7454" width="18.140625" style="1" customWidth="1"/>
    <col min="7455" max="7455" width="5" style="1" customWidth="1"/>
    <col min="7456" max="7456" width="4.42578125" style="1" customWidth="1"/>
    <col min="7457" max="7458" width="5.28515625" style="1" customWidth="1"/>
    <col min="7459" max="7459" width="4.85546875" style="1" customWidth="1"/>
    <col min="7460" max="7460" width="5.42578125" style="1" customWidth="1"/>
    <col min="7461" max="7461" width="5.140625" style="1" customWidth="1"/>
    <col min="7462" max="7462" width="5" style="1" customWidth="1"/>
    <col min="7463" max="7463" width="5.7109375" style="1" customWidth="1"/>
    <col min="7464" max="7464" width="3.85546875" style="1" customWidth="1"/>
    <col min="7465" max="7465" width="5.28515625" style="1" customWidth="1"/>
    <col min="7466" max="7466" width="6.28515625" style="1" customWidth="1"/>
    <col min="7467" max="7467" width="4.5703125" style="1" customWidth="1"/>
    <col min="7468" max="7468" width="5" style="1" customWidth="1"/>
    <col min="7469" max="7469" width="5.85546875" style="1" customWidth="1"/>
    <col min="7470" max="7471" width="4.85546875" style="1" customWidth="1"/>
    <col min="7472" max="7472" width="5.140625" style="1" customWidth="1"/>
    <col min="7473" max="7473" width="8.7109375" style="1" customWidth="1"/>
    <col min="7474" max="7475" width="6.7109375" style="1" customWidth="1"/>
    <col min="7476" max="7476" width="5.7109375" style="1" customWidth="1"/>
    <col min="7477" max="7477" width="19" style="1" customWidth="1"/>
    <col min="7478" max="7484" width="5.7109375" style="1" customWidth="1"/>
    <col min="7485" max="7485" width="5" style="1" customWidth="1"/>
    <col min="7486" max="7492" width="5.7109375" style="1" customWidth="1"/>
    <col min="7493" max="7493" width="7.140625" style="1" customWidth="1"/>
    <col min="7494" max="7494" width="7.28515625" style="1" customWidth="1"/>
    <col min="7495" max="7503" width="5.7109375" style="1" customWidth="1"/>
    <col min="7504" max="7504" width="5.140625" style="1" customWidth="1"/>
    <col min="7505" max="7507" width="5.7109375" style="1" customWidth="1"/>
    <col min="7508" max="7508" width="7.7109375" style="1" customWidth="1"/>
    <col min="7509" max="7509" width="7" style="1" customWidth="1"/>
    <col min="7510" max="7510" width="6.85546875" style="1" customWidth="1"/>
    <col min="7511" max="7511" width="18.7109375" style="1" customWidth="1"/>
    <col min="7512" max="7682" width="8.42578125" style="1"/>
    <col min="7683" max="7683" width="11.5703125" style="1" customWidth="1"/>
    <col min="7684" max="7684" width="19.5703125" style="1" customWidth="1"/>
    <col min="7685" max="7685" width="10.7109375" style="1" customWidth="1"/>
    <col min="7686" max="7686" width="9.7109375" style="1" customWidth="1"/>
    <col min="7687" max="7691" width="8.140625" style="1" customWidth="1"/>
    <col min="7692" max="7692" width="10" style="1" customWidth="1"/>
    <col min="7693" max="7693" width="8.140625" style="1" customWidth="1"/>
    <col min="7694" max="7694" width="18.5703125" style="1" customWidth="1"/>
    <col min="7695" max="7695" width="6.140625" style="1" customWidth="1"/>
    <col min="7696" max="7696" width="4.140625" style="1" customWidth="1"/>
    <col min="7697" max="7697" width="5.5703125" style="1" customWidth="1"/>
    <col min="7698" max="7698" width="5.85546875" style="1" customWidth="1"/>
    <col min="7699" max="7699" width="4.42578125" style="1" customWidth="1"/>
    <col min="7700" max="7700" width="5.140625" style="1" customWidth="1"/>
    <col min="7701" max="7701" width="5.42578125" style="1" customWidth="1"/>
    <col min="7702" max="7702" width="4.85546875" style="1" customWidth="1"/>
    <col min="7703" max="7703" width="5.140625" style="1" customWidth="1"/>
    <col min="7704" max="7704" width="5.42578125" style="1" customWidth="1"/>
    <col min="7705" max="7705" width="4.140625" style="1" customWidth="1"/>
    <col min="7706" max="7706" width="5.5703125" style="1" customWidth="1"/>
    <col min="7707" max="7707" width="9.28515625" style="1" customWidth="1"/>
    <col min="7708" max="7709" width="7" style="1" customWidth="1"/>
    <col min="7710" max="7710" width="18.140625" style="1" customWidth="1"/>
    <col min="7711" max="7711" width="5" style="1" customWidth="1"/>
    <col min="7712" max="7712" width="4.42578125" style="1" customWidth="1"/>
    <col min="7713" max="7714" width="5.28515625" style="1" customWidth="1"/>
    <col min="7715" max="7715" width="4.85546875" style="1" customWidth="1"/>
    <col min="7716" max="7716" width="5.42578125" style="1" customWidth="1"/>
    <col min="7717" max="7717" width="5.140625" style="1" customWidth="1"/>
    <col min="7718" max="7718" width="5" style="1" customWidth="1"/>
    <col min="7719" max="7719" width="5.7109375" style="1" customWidth="1"/>
    <col min="7720" max="7720" width="3.85546875" style="1" customWidth="1"/>
    <col min="7721" max="7721" width="5.28515625" style="1" customWidth="1"/>
    <col min="7722" max="7722" width="6.28515625" style="1" customWidth="1"/>
    <col min="7723" max="7723" width="4.5703125" style="1" customWidth="1"/>
    <col min="7724" max="7724" width="5" style="1" customWidth="1"/>
    <col min="7725" max="7725" width="5.85546875" style="1" customWidth="1"/>
    <col min="7726" max="7727" width="4.85546875" style="1" customWidth="1"/>
    <col min="7728" max="7728" width="5.140625" style="1" customWidth="1"/>
    <col min="7729" max="7729" width="8.7109375" style="1" customWidth="1"/>
    <col min="7730" max="7731" width="6.7109375" style="1" customWidth="1"/>
    <col min="7732" max="7732" width="5.7109375" style="1" customWidth="1"/>
    <col min="7733" max="7733" width="19" style="1" customWidth="1"/>
    <col min="7734" max="7740" width="5.7109375" style="1" customWidth="1"/>
    <col min="7741" max="7741" width="5" style="1" customWidth="1"/>
    <col min="7742" max="7748" width="5.7109375" style="1" customWidth="1"/>
    <col min="7749" max="7749" width="7.140625" style="1" customWidth="1"/>
    <col min="7750" max="7750" width="7.28515625" style="1" customWidth="1"/>
    <col min="7751" max="7759" width="5.7109375" style="1" customWidth="1"/>
    <col min="7760" max="7760" width="5.140625" style="1" customWidth="1"/>
    <col min="7761" max="7763" width="5.7109375" style="1" customWidth="1"/>
    <col min="7764" max="7764" width="7.7109375" style="1" customWidth="1"/>
    <col min="7765" max="7765" width="7" style="1" customWidth="1"/>
    <col min="7766" max="7766" width="6.85546875" style="1" customWidth="1"/>
    <col min="7767" max="7767" width="18.7109375" style="1" customWidth="1"/>
    <col min="7768" max="7938" width="8.42578125" style="1"/>
    <col min="7939" max="7939" width="11.5703125" style="1" customWidth="1"/>
    <col min="7940" max="7940" width="19.5703125" style="1" customWidth="1"/>
    <col min="7941" max="7941" width="10.7109375" style="1" customWidth="1"/>
    <col min="7942" max="7942" width="9.7109375" style="1" customWidth="1"/>
    <col min="7943" max="7947" width="8.140625" style="1" customWidth="1"/>
    <col min="7948" max="7948" width="10" style="1" customWidth="1"/>
    <col min="7949" max="7949" width="8.140625" style="1" customWidth="1"/>
    <col min="7950" max="7950" width="18.5703125" style="1" customWidth="1"/>
    <col min="7951" max="7951" width="6.140625" style="1" customWidth="1"/>
    <col min="7952" max="7952" width="4.140625" style="1" customWidth="1"/>
    <col min="7953" max="7953" width="5.5703125" style="1" customWidth="1"/>
    <col min="7954" max="7954" width="5.85546875" style="1" customWidth="1"/>
    <col min="7955" max="7955" width="4.42578125" style="1" customWidth="1"/>
    <col min="7956" max="7956" width="5.140625" style="1" customWidth="1"/>
    <col min="7957" max="7957" width="5.42578125" style="1" customWidth="1"/>
    <col min="7958" max="7958" width="4.85546875" style="1" customWidth="1"/>
    <col min="7959" max="7959" width="5.140625" style="1" customWidth="1"/>
    <col min="7960" max="7960" width="5.42578125" style="1" customWidth="1"/>
    <col min="7961" max="7961" width="4.140625" style="1" customWidth="1"/>
    <col min="7962" max="7962" width="5.5703125" style="1" customWidth="1"/>
    <col min="7963" max="7963" width="9.28515625" style="1" customWidth="1"/>
    <col min="7964" max="7965" width="7" style="1" customWidth="1"/>
    <col min="7966" max="7966" width="18.140625" style="1" customWidth="1"/>
    <col min="7967" max="7967" width="5" style="1" customWidth="1"/>
    <col min="7968" max="7968" width="4.42578125" style="1" customWidth="1"/>
    <col min="7969" max="7970" width="5.28515625" style="1" customWidth="1"/>
    <col min="7971" max="7971" width="4.85546875" style="1" customWidth="1"/>
    <col min="7972" max="7972" width="5.42578125" style="1" customWidth="1"/>
    <col min="7973" max="7973" width="5.140625" style="1" customWidth="1"/>
    <col min="7974" max="7974" width="5" style="1" customWidth="1"/>
    <col min="7975" max="7975" width="5.7109375" style="1" customWidth="1"/>
    <col min="7976" max="7976" width="3.85546875" style="1" customWidth="1"/>
    <col min="7977" max="7977" width="5.28515625" style="1" customWidth="1"/>
    <col min="7978" max="7978" width="6.28515625" style="1" customWidth="1"/>
    <col min="7979" max="7979" width="4.5703125" style="1" customWidth="1"/>
    <col min="7980" max="7980" width="5" style="1" customWidth="1"/>
    <col min="7981" max="7981" width="5.85546875" style="1" customWidth="1"/>
    <col min="7982" max="7983" width="4.85546875" style="1" customWidth="1"/>
    <col min="7984" max="7984" width="5.140625" style="1" customWidth="1"/>
    <col min="7985" max="7985" width="8.7109375" style="1" customWidth="1"/>
    <col min="7986" max="7987" width="6.7109375" style="1" customWidth="1"/>
    <col min="7988" max="7988" width="5.7109375" style="1" customWidth="1"/>
    <col min="7989" max="7989" width="19" style="1" customWidth="1"/>
    <col min="7990" max="7996" width="5.7109375" style="1" customWidth="1"/>
    <col min="7997" max="7997" width="5" style="1" customWidth="1"/>
    <col min="7998" max="8004" width="5.7109375" style="1" customWidth="1"/>
    <col min="8005" max="8005" width="7.140625" style="1" customWidth="1"/>
    <col min="8006" max="8006" width="7.28515625" style="1" customWidth="1"/>
    <col min="8007" max="8015" width="5.7109375" style="1" customWidth="1"/>
    <col min="8016" max="8016" width="5.140625" style="1" customWidth="1"/>
    <col min="8017" max="8019" width="5.7109375" style="1" customWidth="1"/>
    <col min="8020" max="8020" width="7.7109375" style="1" customWidth="1"/>
    <col min="8021" max="8021" width="7" style="1" customWidth="1"/>
    <col min="8022" max="8022" width="6.85546875" style="1" customWidth="1"/>
    <col min="8023" max="8023" width="18.7109375" style="1" customWidth="1"/>
    <col min="8024" max="8194" width="8.42578125" style="1"/>
    <col min="8195" max="8195" width="11.5703125" style="1" customWidth="1"/>
    <col min="8196" max="8196" width="19.5703125" style="1" customWidth="1"/>
    <col min="8197" max="8197" width="10.7109375" style="1" customWidth="1"/>
    <col min="8198" max="8198" width="9.7109375" style="1" customWidth="1"/>
    <col min="8199" max="8203" width="8.140625" style="1" customWidth="1"/>
    <col min="8204" max="8204" width="10" style="1" customWidth="1"/>
    <col min="8205" max="8205" width="8.140625" style="1" customWidth="1"/>
    <col min="8206" max="8206" width="18.5703125" style="1" customWidth="1"/>
    <col min="8207" max="8207" width="6.140625" style="1" customWidth="1"/>
    <col min="8208" max="8208" width="4.140625" style="1" customWidth="1"/>
    <col min="8209" max="8209" width="5.5703125" style="1" customWidth="1"/>
    <col min="8210" max="8210" width="5.85546875" style="1" customWidth="1"/>
    <col min="8211" max="8211" width="4.42578125" style="1" customWidth="1"/>
    <col min="8212" max="8212" width="5.140625" style="1" customWidth="1"/>
    <col min="8213" max="8213" width="5.42578125" style="1" customWidth="1"/>
    <col min="8214" max="8214" width="4.85546875" style="1" customWidth="1"/>
    <col min="8215" max="8215" width="5.140625" style="1" customWidth="1"/>
    <col min="8216" max="8216" width="5.42578125" style="1" customWidth="1"/>
    <col min="8217" max="8217" width="4.140625" style="1" customWidth="1"/>
    <col min="8218" max="8218" width="5.5703125" style="1" customWidth="1"/>
    <col min="8219" max="8219" width="9.28515625" style="1" customWidth="1"/>
    <col min="8220" max="8221" width="7" style="1" customWidth="1"/>
    <col min="8222" max="8222" width="18.140625" style="1" customWidth="1"/>
    <col min="8223" max="8223" width="5" style="1" customWidth="1"/>
    <col min="8224" max="8224" width="4.42578125" style="1" customWidth="1"/>
    <col min="8225" max="8226" width="5.28515625" style="1" customWidth="1"/>
    <col min="8227" max="8227" width="4.85546875" style="1" customWidth="1"/>
    <col min="8228" max="8228" width="5.42578125" style="1" customWidth="1"/>
    <col min="8229" max="8229" width="5.140625" style="1" customWidth="1"/>
    <col min="8230" max="8230" width="5" style="1" customWidth="1"/>
    <col min="8231" max="8231" width="5.7109375" style="1" customWidth="1"/>
    <col min="8232" max="8232" width="3.85546875" style="1" customWidth="1"/>
    <col min="8233" max="8233" width="5.28515625" style="1" customWidth="1"/>
    <col min="8234" max="8234" width="6.28515625" style="1" customWidth="1"/>
    <col min="8235" max="8235" width="4.5703125" style="1" customWidth="1"/>
    <col min="8236" max="8236" width="5" style="1" customWidth="1"/>
    <col min="8237" max="8237" width="5.85546875" style="1" customWidth="1"/>
    <col min="8238" max="8239" width="4.85546875" style="1" customWidth="1"/>
    <col min="8240" max="8240" width="5.140625" style="1" customWidth="1"/>
    <col min="8241" max="8241" width="8.7109375" style="1" customWidth="1"/>
    <col min="8242" max="8243" width="6.7109375" style="1" customWidth="1"/>
    <col min="8244" max="8244" width="5.7109375" style="1" customWidth="1"/>
    <col min="8245" max="8245" width="19" style="1" customWidth="1"/>
    <col min="8246" max="8252" width="5.7109375" style="1" customWidth="1"/>
    <col min="8253" max="8253" width="5" style="1" customWidth="1"/>
    <col min="8254" max="8260" width="5.7109375" style="1" customWidth="1"/>
    <col min="8261" max="8261" width="7.140625" style="1" customWidth="1"/>
    <col min="8262" max="8262" width="7.28515625" style="1" customWidth="1"/>
    <col min="8263" max="8271" width="5.7109375" style="1" customWidth="1"/>
    <col min="8272" max="8272" width="5.140625" style="1" customWidth="1"/>
    <col min="8273" max="8275" width="5.7109375" style="1" customWidth="1"/>
    <col min="8276" max="8276" width="7.7109375" style="1" customWidth="1"/>
    <col min="8277" max="8277" width="7" style="1" customWidth="1"/>
    <col min="8278" max="8278" width="6.85546875" style="1" customWidth="1"/>
    <col min="8279" max="8279" width="18.7109375" style="1" customWidth="1"/>
    <col min="8280" max="8450" width="8.42578125" style="1"/>
    <col min="8451" max="8451" width="11.5703125" style="1" customWidth="1"/>
    <col min="8452" max="8452" width="19.5703125" style="1" customWidth="1"/>
    <col min="8453" max="8453" width="10.7109375" style="1" customWidth="1"/>
    <col min="8454" max="8454" width="9.7109375" style="1" customWidth="1"/>
    <col min="8455" max="8459" width="8.140625" style="1" customWidth="1"/>
    <col min="8460" max="8460" width="10" style="1" customWidth="1"/>
    <col min="8461" max="8461" width="8.140625" style="1" customWidth="1"/>
    <col min="8462" max="8462" width="18.5703125" style="1" customWidth="1"/>
    <col min="8463" max="8463" width="6.140625" style="1" customWidth="1"/>
    <col min="8464" max="8464" width="4.140625" style="1" customWidth="1"/>
    <col min="8465" max="8465" width="5.5703125" style="1" customWidth="1"/>
    <col min="8466" max="8466" width="5.85546875" style="1" customWidth="1"/>
    <col min="8467" max="8467" width="4.42578125" style="1" customWidth="1"/>
    <col min="8468" max="8468" width="5.140625" style="1" customWidth="1"/>
    <col min="8469" max="8469" width="5.42578125" style="1" customWidth="1"/>
    <col min="8470" max="8470" width="4.85546875" style="1" customWidth="1"/>
    <col min="8471" max="8471" width="5.140625" style="1" customWidth="1"/>
    <col min="8472" max="8472" width="5.42578125" style="1" customWidth="1"/>
    <col min="8473" max="8473" width="4.140625" style="1" customWidth="1"/>
    <col min="8474" max="8474" width="5.5703125" style="1" customWidth="1"/>
    <col min="8475" max="8475" width="9.28515625" style="1" customWidth="1"/>
    <col min="8476" max="8477" width="7" style="1" customWidth="1"/>
    <col min="8478" max="8478" width="18.140625" style="1" customWidth="1"/>
    <col min="8479" max="8479" width="5" style="1" customWidth="1"/>
    <col min="8480" max="8480" width="4.42578125" style="1" customWidth="1"/>
    <col min="8481" max="8482" width="5.28515625" style="1" customWidth="1"/>
    <col min="8483" max="8483" width="4.85546875" style="1" customWidth="1"/>
    <col min="8484" max="8484" width="5.42578125" style="1" customWidth="1"/>
    <col min="8485" max="8485" width="5.140625" style="1" customWidth="1"/>
    <col min="8486" max="8486" width="5" style="1" customWidth="1"/>
    <col min="8487" max="8487" width="5.7109375" style="1" customWidth="1"/>
    <col min="8488" max="8488" width="3.85546875" style="1" customWidth="1"/>
    <col min="8489" max="8489" width="5.28515625" style="1" customWidth="1"/>
    <col min="8490" max="8490" width="6.28515625" style="1" customWidth="1"/>
    <col min="8491" max="8491" width="4.5703125" style="1" customWidth="1"/>
    <col min="8492" max="8492" width="5" style="1" customWidth="1"/>
    <col min="8493" max="8493" width="5.85546875" style="1" customWidth="1"/>
    <col min="8494" max="8495" width="4.85546875" style="1" customWidth="1"/>
    <col min="8496" max="8496" width="5.140625" style="1" customWidth="1"/>
    <col min="8497" max="8497" width="8.7109375" style="1" customWidth="1"/>
    <col min="8498" max="8499" width="6.7109375" style="1" customWidth="1"/>
    <col min="8500" max="8500" width="5.7109375" style="1" customWidth="1"/>
    <col min="8501" max="8501" width="19" style="1" customWidth="1"/>
    <col min="8502" max="8508" width="5.7109375" style="1" customWidth="1"/>
    <col min="8509" max="8509" width="5" style="1" customWidth="1"/>
    <col min="8510" max="8516" width="5.7109375" style="1" customWidth="1"/>
    <col min="8517" max="8517" width="7.140625" style="1" customWidth="1"/>
    <col min="8518" max="8518" width="7.28515625" style="1" customWidth="1"/>
    <col min="8519" max="8527" width="5.7109375" style="1" customWidth="1"/>
    <col min="8528" max="8528" width="5.140625" style="1" customWidth="1"/>
    <col min="8529" max="8531" width="5.7109375" style="1" customWidth="1"/>
    <col min="8532" max="8532" width="7.7109375" style="1" customWidth="1"/>
    <col min="8533" max="8533" width="7" style="1" customWidth="1"/>
    <col min="8534" max="8534" width="6.85546875" style="1" customWidth="1"/>
    <col min="8535" max="8535" width="18.7109375" style="1" customWidth="1"/>
    <col min="8536" max="8706" width="8.42578125" style="1"/>
    <col min="8707" max="8707" width="11.5703125" style="1" customWidth="1"/>
    <col min="8708" max="8708" width="19.5703125" style="1" customWidth="1"/>
    <col min="8709" max="8709" width="10.7109375" style="1" customWidth="1"/>
    <col min="8710" max="8710" width="9.7109375" style="1" customWidth="1"/>
    <col min="8711" max="8715" width="8.140625" style="1" customWidth="1"/>
    <col min="8716" max="8716" width="10" style="1" customWidth="1"/>
    <col min="8717" max="8717" width="8.140625" style="1" customWidth="1"/>
    <col min="8718" max="8718" width="18.5703125" style="1" customWidth="1"/>
    <col min="8719" max="8719" width="6.140625" style="1" customWidth="1"/>
    <col min="8720" max="8720" width="4.140625" style="1" customWidth="1"/>
    <col min="8721" max="8721" width="5.5703125" style="1" customWidth="1"/>
    <col min="8722" max="8722" width="5.85546875" style="1" customWidth="1"/>
    <col min="8723" max="8723" width="4.42578125" style="1" customWidth="1"/>
    <col min="8724" max="8724" width="5.140625" style="1" customWidth="1"/>
    <col min="8725" max="8725" width="5.42578125" style="1" customWidth="1"/>
    <col min="8726" max="8726" width="4.85546875" style="1" customWidth="1"/>
    <col min="8727" max="8727" width="5.140625" style="1" customWidth="1"/>
    <col min="8728" max="8728" width="5.42578125" style="1" customWidth="1"/>
    <col min="8729" max="8729" width="4.140625" style="1" customWidth="1"/>
    <col min="8730" max="8730" width="5.5703125" style="1" customWidth="1"/>
    <col min="8731" max="8731" width="9.28515625" style="1" customWidth="1"/>
    <col min="8732" max="8733" width="7" style="1" customWidth="1"/>
    <col min="8734" max="8734" width="18.140625" style="1" customWidth="1"/>
    <col min="8735" max="8735" width="5" style="1" customWidth="1"/>
    <col min="8736" max="8736" width="4.42578125" style="1" customWidth="1"/>
    <col min="8737" max="8738" width="5.28515625" style="1" customWidth="1"/>
    <col min="8739" max="8739" width="4.85546875" style="1" customWidth="1"/>
    <col min="8740" max="8740" width="5.42578125" style="1" customWidth="1"/>
    <col min="8741" max="8741" width="5.140625" style="1" customWidth="1"/>
    <col min="8742" max="8742" width="5" style="1" customWidth="1"/>
    <col min="8743" max="8743" width="5.7109375" style="1" customWidth="1"/>
    <col min="8744" max="8744" width="3.85546875" style="1" customWidth="1"/>
    <col min="8745" max="8745" width="5.28515625" style="1" customWidth="1"/>
    <col min="8746" max="8746" width="6.28515625" style="1" customWidth="1"/>
    <col min="8747" max="8747" width="4.5703125" style="1" customWidth="1"/>
    <col min="8748" max="8748" width="5" style="1" customWidth="1"/>
    <col min="8749" max="8749" width="5.85546875" style="1" customWidth="1"/>
    <col min="8750" max="8751" width="4.85546875" style="1" customWidth="1"/>
    <col min="8752" max="8752" width="5.140625" style="1" customWidth="1"/>
    <col min="8753" max="8753" width="8.7109375" style="1" customWidth="1"/>
    <col min="8754" max="8755" width="6.7109375" style="1" customWidth="1"/>
    <col min="8756" max="8756" width="5.7109375" style="1" customWidth="1"/>
    <col min="8757" max="8757" width="19" style="1" customWidth="1"/>
    <col min="8758" max="8764" width="5.7109375" style="1" customWidth="1"/>
    <col min="8765" max="8765" width="5" style="1" customWidth="1"/>
    <col min="8766" max="8772" width="5.7109375" style="1" customWidth="1"/>
    <col min="8773" max="8773" width="7.140625" style="1" customWidth="1"/>
    <col min="8774" max="8774" width="7.28515625" style="1" customWidth="1"/>
    <col min="8775" max="8783" width="5.7109375" style="1" customWidth="1"/>
    <col min="8784" max="8784" width="5.140625" style="1" customWidth="1"/>
    <col min="8785" max="8787" width="5.7109375" style="1" customWidth="1"/>
    <col min="8788" max="8788" width="7.7109375" style="1" customWidth="1"/>
    <col min="8789" max="8789" width="7" style="1" customWidth="1"/>
    <col min="8790" max="8790" width="6.85546875" style="1" customWidth="1"/>
    <col min="8791" max="8791" width="18.7109375" style="1" customWidth="1"/>
    <col min="8792" max="8962" width="8.42578125" style="1"/>
    <col min="8963" max="8963" width="11.5703125" style="1" customWidth="1"/>
    <col min="8964" max="8964" width="19.5703125" style="1" customWidth="1"/>
    <col min="8965" max="8965" width="10.7109375" style="1" customWidth="1"/>
    <col min="8966" max="8966" width="9.7109375" style="1" customWidth="1"/>
    <col min="8967" max="8971" width="8.140625" style="1" customWidth="1"/>
    <col min="8972" max="8972" width="10" style="1" customWidth="1"/>
    <col min="8973" max="8973" width="8.140625" style="1" customWidth="1"/>
    <col min="8974" max="8974" width="18.5703125" style="1" customWidth="1"/>
    <col min="8975" max="8975" width="6.140625" style="1" customWidth="1"/>
    <col min="8976" max="8976" width="4.140625" style="1" customWidth="1"/>
    <col min="8977" max="8977" width="5.5703125" style="1" customWidth="1"/>
    <col min="8978" max="8978" width="5.85546875" style="1" customWidth="1"/>
    <col min="8979" max="8979" width="4.42578125" style="1" customWidth="1"/>
    <col min="8980" max="8980" width="5.140625" style="1" customWidth="1"/>
    <col min="8981" max="8981" width="5.42578125" style="1" customWidth="1"/>
    <col min="8982" max="8982" width="4.85546875" style="1" customWidth="1"/>
    <col min="8983" max="8983" width="5.140625" style="1" customWidth="1"/>
    <col min="8984" max="8984" width="5.42578125" style="1" customWidth="1"/>
    <col min="8985" max="8985" width="4.140625" style="1" customWidth="1"/>
    <col min="8986" max="8986" width="5.5703125" style="1" customWidth="1"/>
    <col min="8987" max="8987" width="9.28515625" style="1" customWidth="1"/>
    <col min="8988" max="8989" width="7" style="1" customWidth="1"/>
    <col min="8990" max="8990" width="18.140625" style="1" customWidth="1"/>
    <col min="8991" max="8991" width="5" style="1" customWidth="1"/>
    <col min="8992" max="8992" width="4.42578125" style="1" customWidth="1"/>
    <col min="8993" max="8994" width="5.28515625" style="1" customWidth="1"/>
    <col min="8995" max="8995" width="4.85546875" style="1" customWidth="1"/>
    <col min="8996" max="8996" width="5.42578125" style="1" customWidth="1"/>
    <col min="8997" max="8997" width="5.140625" style="1" customWidth="1"/>
    <col min="8998" max="8998" width="5" style="1" customWidth="1"/>
    <col min="8999" max="8999" width="5.7109375" style="1" customWidth="1"/>
    <col min="9000" max="9000" width="3.85546875" style="1" customWidth="1"/>
    <col min="9001" max="9001" width="5.28515625" style="1" customWidth="1"/>
    <col min="9002" max="9002" width="6.28515625" style="1" customWidth="1"/>
    <col min="9003" max="9003" width="4.5703125" style="1" customWidth="1"/>
    <col min="9004" max="9004" width="5" style="1" customWidth="1"/>
    <col min="9005" max="9005" width="5.85546875" style="1" customWidth="1"/>
    <col min="9006" max="9007" width="4.85546875" style="1" customWidth="1"/>
    <col min="9008" max="9008" width="5.140625" style="1" customWidth="1"/>
    <col min="9009" max="9009" width="8.7109375" style="1" customWidth="1"/>
    <col min="9010" max="9011" width="6.7109375" style="1" customWidth="1"/>
    <col min="9012" max="9012" width="5.7109375" style="1" customWidth="1"/>
    <col min="9013" max="9013" width="19" style="1" customWidth="1"/>
    <col min="9014" max="9020" width="5.7109375" style="1" customWidth="1"/>
    <col min="9021" max="9021" width="5" style="1" customWidth="1"/>
    <col min="9022" max="9028" width="5.7109375" style="1" customWidth="1"/>
    <col min="9029" max="9029" width="7.140625" style="1" customWidth="1"/>
    <col min="9030" max="9030" width="7.28515625" style="1" customWidth="1"/>
    <col min="9031" max="9039" width="5.7109375" style="1" customWidth="1"/>
    <col min="9040" max="9040" width="5.140625" style="1" customWidth="1"/>
    <col min="9041" max="9043" width="5.7109375" style="1" customWidth="1"/>
    <col min="9044" max="9044" width="7.7109375" style="1" customWidth="1"/>
    <col min="9045" max="9045" width="7" style="1" customWidth="1"/>
    <col min="9046" max="9046" width="6.85546875" style="1" customWidth="1"/>
    <col min="9047" max="9047" width="18.7109375" style="1" customWidth="1"/>
    <col min="9048" max="9218" width="8.42578125" style="1"/>
    <col min="9219" max="9219" width="11.5703125" style="1" customWidth="1"/>
    <col min="9220" max="9220" width="19.5703125" style="1" customWidth="1"/>
    <col min="9221" max="9221" width="10.7109375" style="1" customWidth="1"/>
    <col min="9222" max="9222" width="9.7109375" style="1" customWidth="1"/>
    <col min="9223" max="9227" width="8.140625" style="1" customWidth="1"/>
    <col min="9228" max="9228" width="10" style="1" customWidth="1"/>
    <col min="9229" max="9229" width="8.140625" style="1" customWidth="1"/>
    <col min="9230" max="9230" width="18.5703125" style="1" customWidth="1"/>
    <col min="9231" max="9231" width="6.140625" style="1" customWidth="1"/>
    <col min="9232" max="9232" width="4.140625" style="1" customWidth="1"/>
    <col min="9233" max="9233" width="5.5703125" style="1" customWidth="1"/>
    <col min="9234" max="9234" width="5.85546875" style="1" customWidth="1"/>
    <col min="9235" max="9235" width="4.42578125" style="1" customWidth="1"/>
    <col min="9236" max="9236" width="5.140625" style="1" customWidth="1"/>
    <col min="9237" max="9237" width="5.42578125" style="1" customWidth="1"/>
    <col min="9238" max="9238" width="4.85546875" style="1" customWidth="1"/>
    <col min="9239" max="9239" width="5.140625" style="1" customWidth="1"/>
    <col min="9240" max="9240" width="5.42578125" style="1" customWidth="1"/>
    <col min="9241" max="9241" width="4.140625" style="1" customWidth="1"/>
    <col min="9242" max="9242" width="5.5703125" style="1" customWidth="1"/>
    <col min="9243" max="9243" width="9.28515625" style="1" customWidth="1"/>
    <col min="9244" max="9245" width="7" style="1" customWidth="1"/>
    <col min="9246" max="9246" width="18.140625" style="1" customWidth="1"/>
    <col min="9247" max="9247" width="5" style="1" customWidth="1"/>
    <col min="9248" max="9248" width="4.42578125" style="1" customWidth="1"/>
    <col min="9249" max="9250" width="5.28515625" style="1" customWidth="1"/>
    <col min="9251" max="9251" width="4.85546875" style="1" customWidth="1"/>
    <col min="9252" max="9252" width="5.42578125" style="1" customWidth="1"/>
    <col min="9253" max="9253" width="5.140625" style="1" customWidth="1"/>
    <col min="9254" max="9254" width="5" style="1" customWidth="1"/>
    <col min="9255" max="9255" width="5.7109375" style="1" customWidth="1"/>
    <col min="9256" max="9256" width="3.85546875" style="1" customWidth="1"/>
    <col min="9257" max="9257" width="5.28515625" style="1" customWidth="1"/>
    <col min="9258" max="9258" width="6.28515625" style="1" customWidth="1"/>
    <col min="9259" max="9259" width="4.5703125" style="1" customWidth="1"/>
    <col min="9260" max="9260" width="5" style="1" customWidth="1"/>
    <col min="9261" max="9261" width="5.85546875" style="1" customWidth="1"/>
    <col min="9262" max="9263" width="4.85546875" style="1" customWidth="1"/>
    <col min="9264" max="9264" width="5.140625" style="1" customWidth="1"/>
    <col min="9265" max="9265" width="8.7109375" style="1" customWidth="1"/>
    <col min="9266" max="9267" width="6.7109375" style="1" customWidth="1"/>
    <col min="9268" max="9268" width="5.7109375" style="1" customWidth="1"/>
    <col min="9269" max="9269" width="19" style="1" customWidth="1"/>
    <col min="9270" max="9276" width="5.7109375" style="1" customWidth="1"/>
    <col min="9277" max="9277" width="5" style="1" customWidth="1"/>
    <col min="9278" max="9284" width="5.7109375" style="1" customWidth="1"/>
    <col min="9285" max="9285" width="7.140625" style="1" customWidth="1"/>
    <col min="9286" max="9286" width="7.28515625" style="1" customWidth="1"/>
    <col min="9287" max="9295" width="5.7109375" style="1" customWidth="1"/>
    <col min="9296" max="9296" width="5.140625" style="1" customWidth="1"/>
    <col min="9297" max="9299" width="5.7109375" style="1" customWidth="1"/>
    <col min="9300" max="9300" width="7.7109375" style="1" customWidth="1"/>
    <col min="9301" max="9301" width="7" style="1" customWidth="1"/>
    <col min="9302" max="9302" width="6.85546875" style="1" customWidth="1"/>
    <col min="9303" max="9303" width="18.7109375" style="1" customWidth="1"/>
    <col min="9304" max="9474" width="8.42578125" style="1"/>
    <col min="9475" max="9475" width="11.5703125" style="1" customWidth="1"/>
    <col min="9476" max="9476" width="19.5703125" style="1" customWidth="1"/>
    <col min="9477" max="9477" width="10.7109375" style="1" customWidth="1"/>
    <col min="9478" max="9478" width="9.7109375" style="1" customWidth="1"/>
    <col min="9479" max="9483" width="8.140625" style="1" customWidth="1"/>
    <col min="9484" max="9484" width="10" style="1" customWidth="1"/>
    <col min="9485" max="9485" width="8.140625" style="1" customWidth="1"/>
    <col min="9486" max="9486" width="18.5703125" style="1" customWidth="1"/>
    <col min="9487" max="9487" width="6.140625" style="1" customWidth="1"/>
    <col min="9488" max="9488" width="4.140625" style="1" customWidth="1"/>
    <col min="9489" max="9489" width="5.5703125" style="1" customWidth="1"/>
    <col min="9490" max="9490" width="5.85546875" style="1" customWidth="1"/>
    <col min="9491" max="9491" width="4.42578125" style="1" customWidth="1"/>
    <col min="9492" max="9492" width="5.140625" style="1" customWidth="1"/>
    <col min="9493" max="9493" width="5.42578125" style="1" customWidth="1"/>
    <col min="9494" max="9494" width="4.85546875" style="1" customWidth="1"/>
    <col min="9495" max="9495" width="5.140625" style="1" customWidth="1"/>
    <col min="9496" max="9496" width="5.42578125" style="1" customWidth="1"/>
    <col min="9497" max="9497" width="4.140625" style="1" customWidth="1"/>
    <col min="9498" max="9498" width="5.5703125" style="1" customWidth="1"/>
    <col min="9499" max="9499" width="9.28515625" style="1" customWidth="1"/>
    <col min="9500" max="9501" width="7" style="1" customWidth="1"/>
    <col min="9502" max="9502" width="18.140625" style="1" customWidth="1"/>
    <col min="9503" max="9503" width="5" style="1" customWidth="1"/>
    <col min="9504" max="9504" width="4.42578125" style="1" customWidth="1"/>
    <col min="9505" max="9506" width="5.28515625" style="1" customWidth="1"/>
    <col min="9507" max="9507" width="4.85546875" style="1" customWidth="1"/>
    <col min="9508" max="9508" width="5.42578125" style="1" customWidth="1"/>
    <col min="9509" max="9509" width="5.140625" style="1" customWidth="1"/>
    <col min="9510" max="9510" width="5" style="1" customWidth="1"/>
    <col min="9511" max="9511" width="5.7109375" style="1" customWidth="1"/>
    <col min="9512" max="9512" width="3.85546875" style="1" customWidth="1"/>
    <col min="9513" max="9513" width="5.28515625" style="1" customWidth="1"/>
    <col min="9514" max="9514" width="6.28515625" style="1" customWidth="1"/>
    <col min="9515" max="9515" width="4.5703125" style="1" customWidth="1"/>
    <col min="9516" max="9516" width="5" style="1" customWidth="1"/>
    <col min="9517" max="9517" width="5.85546875" style="1" customWidth="1"/>
    <col min="9518" max="9519" width="4.85546875" style="1" customWidth="1"/>
    <col min="9520" max="9520" width="5.140625" style="1" customWidth="1"/>
    <col min="9521" max="9521" width="8.7109375" style="1" customWidth="1"/>
    <col min="9522" max="9523" width="6.7109375" style="1" customWidth="1"/>
    <col min="9524" max="9524" width="5.7109375" style="1" customWidth="1"/>
    <col min="9525" max="9525" width="19" style="1" customWidth="1"/>
    <col min="9526" max="9532" width="5.7109375" style="1" customWidth="1"/>
    <col min="9533" max="9533" width="5" style="1" customWidth="1"/>
    <col min="9534" max="9540" width="5.7109375" style="1" customWidth="1"/>
    <col min="9541" max="9541" width="7.140625" style="1" customWidth="1"/>
    <col min="9542" max="9542" width="7.28515625" style="1" customWidth="1"/>
    <col min="9543" max="9551" width="5.7109375" style="1" customWidth="1"/>
    <col min="9552" max="9552" width="5.140625" style="1" customWidth="1"/>
    <col min="9553" max="9555" width="5.7109375" style="1" customWidth="1"/>
    <col min="9556" max="9556" width="7.7109375" style="1" customWidth="1"/>
    <col min="9557" max="9557" width="7" style="1" customWidth="1"/>
    <col min="9558" max="9558" width="6.85546875" style="1" customWidth="1"/>
    <col min="9559" max="9559" width="18.7109375" style="1" customWidth="1"/>
    <col min="9560" max="9730" width="8.42578125" style="1"/>
    <col min="9731" max="9731" width="11.5703125" style="1" customWidth="1"/>
    <col min="9732" max="9732" width="19.5703125" style="1" customWidth="1"/>
    <col min="9733" max="9733" width="10.7109375" style="1" customWidth="1"/>
    <col min="9734" max="9734" width="9.7109375" style="1" customWidth="1"/>
    <col min="9735" max="9739" width="8.140625" style="1" customWidth="1"/>
    <col min="9740" max="9740" width="10" style="1" customWidth="1"/>
    <col min="9741" max="9741" width="8.140625" style="1" customWidth="1"/>
    <col min="9742" max="9742" width="18.5703125" style="1" customWidth="1"/>
    <col min="9743" max="9743" width="6.140625" style="1" customWidth="1"/>
    <col min="9744" max="9744" width="4.140625" style="1" customWidth="1"/>
    <col min="9745" max="9745" width="5.5703125" style="1" customWidth="1"/>
    <col min="9746" max="9746" width="5.85546875" style="1" customWidth="1"/>
    <col min="9747" max="9747" width="4.42578125" style="1" customWidth="1"/>
    <col min="9748" max="9748" width="5.140625" style="1" customWidth="1"/>
    <col min="9749" max="9749" width="5.42578125" style="1" customWidth="1"/>
    <col min="9750" max="9750" width="4.85546875" style="1" customWidth="1"/>
    <col min="9751" max="9751" width="5.140625" style="1" customWidth="1"/>
    <col min="9752" max="9752" width="5.42578125" style="1" customWidth="1"/>
    <col min="9753" max="9753" width="4.140625" style="1" customWidth="1"/>
    <col min="9754" max="9754" width="5.5703125" style="1" customWidth="1"/>
    <col min="9755" max="9755" width="9.28515625" style="1" customWidth="1"/>
    <col min="9756" max="9757" width="7" style="1" customWidth="1"/>
    <col min="9758" max="9758" width="18.140625" style="1" customWidth="1"/>
    <col min="9759" max="9759" width="5" style="1" customWidth="1"/>
    <col min="9760" max="9760" width="4.42578125" style="1" customWidth="1"/>
    <col min="9761" max="9762" width="5.28515625" style="1" customWidth="1"/>
    <col min="9763" max="9763" width="4.85546875" style="1" customWidth="1"/>
    <col min="9764" max="9764" width="5.42578125" style="1" customWidth="1"/>
    <col min="9765" max="9765" width="5.140625" style="1" customWidth="1"/>
    <col min="9766" max="9766" width="5" style="1" customWidth="1"/>
    <col min="9767" max="9767" width="5.7109375" style="1" customWidth="1"/>
    <col min="9768" max="9768" width="3.85546875" style="1" customWidth="1"/>
    <col min="9769" max="9769" width="5.28515625" style="1" customWidth="1"/>
    <col min="9770" max="9770" width="6.28515625" style="1" customWidth="1"/>
    <col min="9771" max="9771" width="4.5703125" style="1" customWidth="1"/>
    <col min="9772" max="9772" width="5" style="1" customWidth="1"/>
    <col min="9773" max="9773" width="5.85546875" style="1" customWidth="1"/>
    <col min="9774" max="9775" width="4.85546875" style="1" customWidth="1"/>
    <col min="9776" max="9776" width="5.140625" style="1" customWidth="1"/>
    <col min="9777" max="9777" width="8.7109375" style="1" customWidth="1"/>
    <col min="9778" max="9779" width="6.7109375" style="1" customWidth="1"/>
    <col min="9780" max="9780" width="5.7109375" style="1" customWidth="1"/>
    <col min="9781" max="9781" width="19" style="1" customWidth="1"/>
    <col min="9782" max="9788" width="5.7109375" style="1" customWidth="1"/>
    <col min="9789" max="9789" width="5" style="1" customWidth="1"/>
    <col min="9790" max="9796" width="5.7109375" style="1" customWidth="1"/>
    <col min="9797" max="9797" width="7.140625" style="1" customWidth="1"/>
    <col min="9798" max="9798" width="7.28515625" style="1" customWidth="1"/>
    <col min="9799" max="9807" width="5.7109375" style="1" customWidth="1"/>
    <col min="9808" max="9808" width="5.140625" style="1" customWidth="1"/>
    <col min="9809" max="9811" width="5.7109375" style="1" customWidth="1"/>
    <col min="9812" max="9812" width="7.7109375" style="1" customWidth="1"/>
    <col min="9813" max="9813" width="7" style="1" customWidth="1"/>
    <col min="9814" max="9814" width="6.85546875" style="1" customWidth="1"/>
    <col min="9815" max="9815" width="18.7109375" style="1" customWidth="1"/>
    <col min="9816" max="9986" width="8.42578125" style="1"/>
    <col min="9987" max="9987" width="11.5703125" style="1" customWidth="1"/>
    <col min="9988" max="9988" width="19.5703125" style="1" customWidth="1"/>
    <col min="9989" max="9989" width="10.7109375" style="1" customWidth="1"/>
    <col min="9990" max="9990" width="9.7109375" style="1" customWidth="1"/>
    <col min="9991" max="9995" width="8.140625" style="1" customWidth="1"/>
    <col min="9996" max="9996" width="10" style="1" customWidth="1"/>
    <col min="9997" max="9997" width="8.140625" style="1" customWidth="1"/>
    <col min="9998" max="9998" width="18.5703125" style="1" customWidth="1"/>
    <col min="9999" max="9999" width="6.140625" style="1" customWidth="1"/>
    <col min="10000" max="10000" width="4.140625" style="1" customWidth="1"/>
    <col min="10001" max="10001" width="5.5703125" style="1" customWidth="1"/>
    <col min="10002" max="10002" width="5.85546875" style="1" customWidth="1"/>
    <col min="10003" max="10003" width="4.42578125" style="1" customWidth="1"/>
    <col min="10004" max="10004" width="5.140625" style="1" customWidth="1"/>
    <col min="10005" max="10005" width="5.42578125" style="1" customWidth="1"/>
    <col min="10006" max="10006" width="4.85546875" style="1" customWidth="1"/>
    <col min="10007" max="10007" width="5.140625" style="1" customWidth="1"/>
    <col min="10008" max="10008" width="5.42578125" style="1" customWidth="1"/>
    <col min="10009" max="10009" width="4.140625" style="1" customWidth="1"/>
    <col min="10010" max="10010" width="5.5703125" style="1" customWidth="1"/>
    <col min="10011" max="10011" width="9.28515625" style="1" customWidth="1"/>
    <col min="10012" max="10013" width="7" style="1" customWidth="1"/>
    <col min="10014" max="10014" width="18.140625" style="1" customWidth="1"/>
    <col min="10015" max="10015" width="5" style="1" customWidth="1"/>
    <col min="10016" max="10016" width="4.42578125" style="1" customWidth="1"/>
    <col min="10017" max="10018" width="5.28515625" style="1" customWidth="1"/>
    <col min="10019" max="10019" width="4.85546875" style="1" customWidth="1"/>
    <col min="10020" max="10020" width="5.42578125" style="1" customWidth="1"/>
    <col min="10021" max="10021" width="5.140625" style="1" customWidth="1"/>
    <col min="10022" max="10022" width="5" style="1" customWidth="1"/>
    <col min="10023" max="10023" width="5.7109375" style="1" customWidth="1"/>
    <col min="10024" max="10024" width="3.85546875" style="1" customWidth="1"/>
    <col min="10025" max="10025" width="5.28515625" style="1" customWidth="1"/>
    <col min="10026" max="10026" width="6.28515625" style="1" customWidth="1"/>
    <col min="10027" max="10027" width="4.5703125" style="1" customWidth="1"/>
    <col min="10028" max="10028" width="5" style="1" customWidth="1"/>
    <col min="10029" max="10029" width="5.85546875" style="1" customWidth="1"/>
    <col min="10030" max="10031" width="4.85546875" style="1" customWidth="1"/>
    <col min="10032" max="10032" width="5.140625" style="1" customWidth="1"/>
    <col min="10033" max="10033" width="8.7109375" style="1" customWidth="1"/>
    <col min="10034" max="10035" width="6.7109375" style="1" customWidth="1"/>
    <col min="10036" max="10036" width="5.7109375" style="1" customWidth="1"/>
    <col min="10037" max="10037" width="19" style="1" customWidth="1"/>
    <col min="10038" max="10044" width="5.7109375" style="1" customWidth="1"/>
    <col min="10045" max="10045" width="5" style="1" customWidth="1"/>
    <col min="10046" max="10052" width="5.7109375" style="1" customWidth="1"/>
    <col min="10053" max="10053" width="7.140625" style="1" customWidth="1"/>
    <col min="10054" max="10054" width="7.28515625" style="1" customWidth="1"/>
    <col min="10055" max="10063" width="5.7109375" style="1" customWidth="1"/>
    <col min="10064" max="10064" width="5.140625" style="1" customWidth="1"/>
    <col min="10065" max="10067" width="5.7109375" style="1" customWidth="1"/>
    <col min="10068" max="10068" width="7.7109375" style="1" customWidth="1"/>
    <col min="10069" max="10069" width="7" style="1" customWidth="1"/>
    <col min="10070" max="10070" width="6.85546875" style="1" customWidth="1"/>
    <col min="10071" max="10071" width="18.7109375" style="1" customWidth="1"/>
    <col min="10072" max="10242" width="8.42578125" style="1"/>
    <col min="10243" max="10243" width="11.5703125" style="1" customWidth="1"/>
    <col min="10244" max="10244" width="19.5703125" style="1" customWidth="1"/>
    <col min="10245" max="10245" width="10.7109375" style="1" customWidth="1"/>
    <col min="10246" max="10246" width="9.7109375" style="1" customWidth="1"/>
    <col min="10247" max="10251" width="8.140625" style="1" customWidth="1"/>
    <col min="10252" max="10252" width="10" style="1" customWidth="1"/>
    <col min="10253" max="10253" width="8.140625" style="1" customWidth="1"/>
    <col min="10254" max="10254" width="18.5703125" style="1" customWidth="1"/>
    <col min="10255" max="10255" width="6.140625" style="1" customWidth="1"/>
    <col min="10256" max="10256" width="4.140625" style="1" customWidth="1"/>
    <col min="10257" max="10257" width="5.5703125" style="1" customWidth="1"/>
    <col min="10258" max="10258" width="5.85546875" style="1" customWidth="1"/>
    <col min="10259" max="10259" width="4.42578125" style="1" customWidth="1"/>
    <col min="10260" max="10260" width="5.140625" style="1" customWidth="1"/>
    <col min="10261" max="10261" width="5.42578125" style="1" customWidth="1"/>
    <col min="10262" max="10262" width="4.85546875" style="1" customWidth="1"/>
    <col min="10263" max="10263" width="5.140625" style="1" customWidth="1"/>
    <col min="10264" max="10264" width="5.42578125" style="1" customWidth="1"/>
    <col min="10265" max="10265" width="4.140625" style="1" customWidth="1"/>
    <col min="10266" max="10266" width="5.5703125" style="1" customWidth="1"/>
    <col min="10267" max="10267" width="9.28515625" style="1" customWidth="1"/>
    <col min="10268" max="10269" width="7" style="1" customWidth="1"/>
    <col min="10270" max="10270" width="18.140625" style="1" customWidth="1"/>
    <col min="10271" max="10271" width="5" style="1" customWidth="1"/>
    <col min="10272" max="10272" width="4.42578125" style="1" customWidth="1"/>
    <col min="10273" max="10274" width="5.28515625" style="1" customWidth="1"/>
    <col min="10275" max="10275" width="4.85546875" style="1" customWidth="1"/>
    <col min="10276" max="10276" width="5.42578125" style="1" customWidth="1"/>
    <col min="10277" max="10277" width="5.140625" style="1" customWidth="1"/>
    <col min="10278" max="10278" width="5" style="1" customWidth="1"/>
    <col min="10279" max="10279" width="5.7109375" style="1" customWidth="1"/>
    <col min="10280" max="10280" width="3.85546875" style="1" customWidth="1"/>
    <col min="10281" max="10281" width="5.28515625" style="1" customWidth="1"/>
    <col min="10282" max="10282" width="6.28515625" style="1" customWidth="1"/>
    <col min="10283" max="10283" width="4.5703125" style="1" customWidth="1"/>
    <col min="10284" max="10284" width="5" style="1" customWidth="1"/>
    <col min="10285" max="10285" width="5.85546875" style="1" customWidth="1"/>
    <col min="10286" max="10287" width="4.85546875" style="1" customWidth="1"/>
    <col min="10288" max="10288" width="5.140625" style="1" customWidth="1"/>
    <col min="10289" max="10289" width="8.7109375" style="1" customWidth="1"/>
    <col min="10290" max="10291" width="6.7109375" style="1" customWidth="1"/>
    <col min="10292" max="10292" width="5.7109375" style="1" customWidth="1"/>
    <col min="10293" max="10293" width="19" style="1" customWidth="1"/>
    <col min="10294" max="10300" width="5.7109375" style="1" customWidth="1"/>
    <col min="10301" max="10301" width="5" style="1" customWidth="1"/>
    <col min="10302" max="10308" width="5.7109375" style="1" customWidth="1"/>
    <col min="10309" max="10309" width="7.140625" style="1" customWidth="1"/>
    <col min="10310" max="10310" width="7.28515625" style="1" customWidth="1"/>
    <col min="10311" max="10319" width="5.7109375" style="1" customWidth="1"/>
    <col min="10320" max="10320" width="5.140625" style="1" customWidth="1"/>
    <col min="10321" max="10323" width="5.7109375" style="1" customWidth="1"/>
    <col min="10324" max="10324" width="7.7109375" style="1" customWidth="1"/>
    <col min="10325" max="10325" width="7" style="1" customWidth="1"/>
    <col min="10326" max="10326" width="6.85546875" style="1" customWidth="1"/>
    <col min="10327" max="10327" width="18.7109375" style="1" customWidth="1"/>
    <col min="10328" max="10498" width="8.42578125" style="1"/>
    <col min="10499" max="10499" width="11.5703125" style="1" customWidth="1"/>
    <col min="10500" max="10500" width="19.5703125" style="1" customWidth="1"/>
    <col min="10501" max="10501" width="10.7109375" style="1" customWidth="1"/>
    <col min="10502" max="10502" width="9.7109375" style="1" customWidth="1"/>
    <col min="10503" max="10507" width="8.140625" style="1" customWidth="1"/>
    <col min="10508" max="10508" width="10" style="1" customWidth="1"/>
    <col min="10509" max="10509" width="8.140625" style="1" customWidth="1"/>
    <col min="10510" max="10510" width="18.5703125" style="1" customWidth="1"/>
    <col min="10511" max="10511" width="6.140625" style="1" customWidth="1"/>
    <col min="10512" max="10512" width="4.140625" style="1" customWidth="1"/>
    <col min="10513" max="10513" width="5.5703125" style="1" customWidth="1"/>
    <col min="10514" max="10514" width="5.85546875" style="1" customWidth="1"/>
    <col min="10515" max="10515" width="4.42578125" style="1" customWidth="1"/>
    <col min="10516" max="10516" width="5.140625" style="1" customWidth="1"/>
    <col min="10517" max="10517" width="5.42578125" style="1" customWidth="1"/>
    <col min="10518" max="10518" width="4.85546875" style="1" customWidth="1"/>
    <col min="10519" max="10519" width="5.140625" style="1" customWidth="1"/>
    <col min="10520" max="10520" width="5.42578125" style="1" customWidth="1"/>
    <col min="10521" max="10521" width="4.140625" style="1" customWidth="1"/>
    <col min="10522" max="10522" width="5.5703125" style="1" customWidth="1"/>
    <col min="10523" max="10523" width="9.28515625" style="1" customWidth="1"/>
    <col min="10524" max="10525" width="7" style="1" customWidth="1"/>
    <col min="10526" max="10526" width="18.140625" style="1" customWidth="1"/>
    <col min="10527" max="10527" width="5" style="1" customWidth="1"/>
    <col min="10528" max="10528" width="4.42578125" style="1" customWidth="1"/>
    <col min="10529" max="10530" width="5.28515625" style="1" customWidth="1"/>
    <col min="10531" max="10531" width="4.85546875" style="1" customWidth="1"/>
    <col min="10532" max="10532" width="5.42578125" style="1" customWidth="1"/>
    <col min="10533" max="10533" width="5.140625" style="1" customWidth="1"/>
    <col min="10534" max="10534" width="5" style="1" customWidth="1"/>
    <col min="10535" max="10535" width="5.7109375" style="1" customWidth="1"/>
    <col min="10536" max="10536" width="3.85546875" style="1" customWidth="1"/>
    <col min="10537" max="10537" width="5.28515625" style="1" customWidth="1"/>
    <col min="10538" max="10538" width="6.28515625" style="1" customWidth="1"/>
    <col min="10539" max="10539" width="4.5703125" style="1" customWidth="1"/>
    <col min="10540" max="10540" width="5" style="1" customWidth="1"/>
    <col min="10541" max="10541" width="5.85546875" style="1" customWidth="1"/>
    <col min="10542" max="10543" width="4.85546875" style="1" customWidth="1"/>
    <col min="10544" max="10544" width="5.140625" style="1" customWidth="1"/>
    <col min="10545" max="10545" width="8.7109375" style="1" customWidth="1"/>
    <col min="10546" max="10547" width="6.7109375" style="1" customWidth="1"/>
    <col min="10548" max="10548" width="5.7109375" style="1" customWidth="1"/>
    <col min="10549" max="10549" width="19" style="1" customWidth="1"/>
    <col min="10550" max="10556" width="5.7109375" style="1" customWidth="1"/>
    <col min="10557" max="10557" width="5" style="1" customWidth="1"/>
    <col min="10558" max="10564" width="5.7109375" style="1" customWidth="1"/>
    <col min="10565" max="10565" width="7.140625" style="1" customWidth="1"/>
    <col min="10566" max="10566" width="7.28515625" style="1" customWidth="1"/>
    <col min="10567" max="10575" width="5.7109375" style="1" customWidth="1"/>
    <col min="10576" max="10576" width="5.140625" style="1" customWidth="1"/>
    <col min="10577" max="10579" width="5.7109375" style="1" customWidth="1"/>
    <col min="10580" max="10580" width="7.7109375" style="1" customWidth="1"/>
    <col min="10581" max="10581" width="7" style="1" customWidth="1"/>
    <col min="10582" max="10582" width="6.85546875" style="1" customWidth="1"/>
    <col min="10583" max="10583" width="18.7109375" style="1" customWidth="1"/>
    <col min="10584" max="10754" width="8.42578125" style="1"/>
    <col min="10755" max="10755" width="11.5703125" style="1" customWidth="1"/>
    <col min="10756" max="10756" width="19.5703125" style="1" customWidth="1"/>
    <col min="10757" max="10757" width="10.7109375" style="1" customWidth="1"/>
    <col min="10758" max="10758" width="9.7109375" style="1" customWidth="1"/>
    <col min="10759" max="10763" width="8.140625" style="1" customWidth="1"/>
    <col min="10764" max="10764" width="10" style="1" customWidth="1"/>
    <col min="10765" max="10765" width="8.140625" style="1" customWidth="1"/>
    <col min="10766" max="10766" width="18.5703125" style="1" customWidth="1"/>
    <col min="10767" max="10767" width="6.140625" style="1" customWidth="1"/>
    <col min="10768" max="10768" width="4.140625" style="1" customWidth="1"/>
    <col min="10769" max="10769" width="5.5703125" style="1" customWidth="1"/>
    <col min="10770" max="10770" width="5.85546875" style="1" customWidth="1"/>
    <col min="10771" max="10771" width="4.42578125" style="1" customWidth="1"/>
    <col min="10772" max="10772" width="5.140625" style="1" customWidth="1"/>
    <col min="10773" max="10773" width="5.42578125" style="1" customWidth="1"/>
    <col min="10774" max="10774" width="4.85546875" style="1" customWidth="1"/>
    <col min="10775" max="10775" width="5.140625" style="1" customWidth="1"/>
    <col min="10776" max="10776" width="5.42578125" style="1" customWidth="1"/>
    <col min="10777" max="10777" width="4.140625" style="1" customWidth="1"/>
    <col min="10778" max="10778" width="5.5703125" style="1" customWidth="1"/>
    <col min="10779" max="10779" width="9.28515625" style="1" customWidth="1"/>
    <col min="10780" max="10781" width="7" style="1" customWidth="1"/>
    <col min="10782" max="10782" width="18.140625" style="1" customWidth="1"/>
    <col min="10783" max="10783" width="5" style="1" customWidth="1"/>
    <col min="10784" max="10784" width="4.42578125" style="1" customWidth="1"/>
    <col min="10785" max="10786" width="5.28515625" style="1" customWidth="1"/>
    <col min="10787" max="10787" width="4.85546875" style="1" customWidth="1"/>
    <col min="10788" max="10788" width="5.42578125" style="1" customWidth="1"/>
    <col min="10789" max="10789" width="5.140625" style="1" customWidth="1"/>
    <col min="10790" max="10790" width="5" style="1" customWidth="1"/>
    <col min="10791" max="10791" width="5.7109375" style="1" customWidth="1"/>
    <col min="10792" max="10792" width="3.85546875" style="1" customWidth="1"/>
    <col min="10793" max="10793" width="5.28515625" style="1" customWidth="1"/>
    <col min="10794" max="10794" width="6.28515625" style="1" customWidth="1"/>
    <col min="10795" max="10795" width="4.5703125" style="1" customWidth="1"/>
    <col min="10796" max="10796" width="5" style="1" customWidth="1"/>
    <col min="10797" max="10797" width="5.85546875" style="1" customWidth="1"/>
    <col min="10798" max="10799" width="4.85546875" style="1" customWidth="1"/>
    <col min="10800" max="10800" width="5.140625" style="1" customWidth="1"/>
    <col min="10801" max="10801" width="8.7109375" style="1" customWidth="1"/>
    <col min="10802" max="10803" width="6.7109375" style="1" customWidth="1"/>
    <col min="10804" max="10804" width="5.7109375" style="1" customWidth="1"/>
    <col min="10805" max="10805" width="19" style="1" customWidth="1"/>
    <col min="10806" max="10812" width="5.7109375" style="1" customWidth="1"/>
    <col min="10813" max="10813" width="5" style="1" customWidth="1"/>
    <col min="10814" max="10820" width="5.7109375" style="1" customWidth="1"/>
    <col min="10821" max="10821" width="7.140625" style="1" customWidth="1"/>
    <col min="10822" max="10822" width="7.28515625" style="1" customWidth="1"/>
    <col min="10823" max="10831" width="5.7109375" style="1" customWidth="1"/>
    <col min="10832" max="10832" width="5.140625" style="1" customWidth="1"/>
    <col min="10833" max="10835" width="5.7109375" style="1" customWidth="1"/>
    <col min="10836" max="10836" width="7.7109375" style="1" customWidth="1"/>
    <col min="10837" max="10837" width="7" style="1" customWidth="1"/>
    <col min="10838" max="10838" width="6.85546875" style="1" customWidth="1"/>
    <col min="10839" max="10839" width="18.7109375" style="1" customWidth="1"/>
    <col min="10840" max="11010" width="8.42578125" style="1"/>
    <col min="11011" max="11011" width="11.5703125" style="1" customWidth="1"/>
    <col min="11012" max="11012" width="19.5703125" style="1" customWidth="1"/>
    <col min="11013" max="11013" width="10.7109375" style="1" customWidth="1"/>
    <col min="11014" max="11014" width="9.7109375" style="1" customWidth="1"/>
    <col min="11015" max="11019" width="8.140625" style="1" customWidth="1"/>
    <col min="11020" max="11020" width="10" style="1" customWidth="1"/>
    <col min="11021" max="11021" width="8.140625" style="1" customWidth="1"/>
    <col min="11022" max="11022" width="18.5703125" style="1" customWidth="1"/>
    <col min="11023" max="11023" width="6.140625" style="1" customWidth="1"/>
    <col min="11024" max="11024" width="4.140625" style="1" customWidth="1"/>
    <col min="11025" max="11025" width="5.5703125" style="1" customWidth="1"/>
    <col min="11026" max="11026" width="5.85546875" style="1" customWidth="1"/>
    <col min="11027" max="11027" width="4.42578125" style="1" customWidth="1"/>
    <col min="11028" max="11028" width="5.140625" style="1" customWidth="1"/>
    <col min="11029" max="11029" width="5.42578125" style="1" customWidth="1"/>
    <col min="11030" max="11030" width="4.85546875" style="1" customWidth="1"/>
    <col min="11031" max="11031" width="5.140625" style="1" customWidth="1"/>
    <col min="11032" max="11032" width="5.42578125" style="1" customWidth="1"/>
    <col min="11033" max="11033" width="4.140625" style="1" customWidth="1"/>
    <col min="11034" max="11034" width="5.5703125" style="1" customWidth="1"/>
    <col min="11035" max="11035" width="9.28515625" style="1" customWidth="1"/>
    <col min="11036" max="11037" width="7" style="1" customWidth="1"/>
    <col min="11038" max="11038" width="18.140625" style="1" customWidth="1"/>
    <col min="11039" max="11039" width="5" style="1" customWidth="1"/>
    <col min="11040" max="11040" width="4.42578125" style="1" customWidth="1"/>
    <col min="11041" max="11042" width="5.28515625" style="1" customWidth="1"/>
    <col min="11043" max="11043" width="4.85546875" style="1" customWidth="1"/>
    <col min="11044" max="11044" width="5.42578125" style="1" customWidth="1"/>
    <col min="11045" max="11045" width="5.140625" style="1" customWidth="1"/>
    <col min="11046" max="11046" width="5" style="1" customWidth="1"/>
    <col min="11047" max="11047" width="5.7109375" style="1" customWidth="1"/>
    <col min="11048" max="11048" width="3.85546875" style="1" customWidth="1"/>
    <col min="11049" max="11049" width="5.28515625" style="1" customWidth="1"/>
    <col min="11050" max="11050" width="6.28515625" style="1" customWidth="1"/>
    <col min="11051" max="11051" width="4.5703125" style="1" customWidth="1"/>
    <col min="11052" max="11052" width="5" style="1" customWidth="1"/>
    <col min="11053" max="11053" width="5.85546875" style="1" customWidth="1"/>
    <col min="11054" max="11055" width="4.85546875" style="1" customWidth="1"/>
    <col min="11056" max="11056" width="5.140625" style="1" customWidth="1"/>
    <col min="11057" max="11057" width="8.7109375" style="1" customWidth="1"/>
    <col min="11058" max="11059" width="6.7109375" style="1" customWidth="1"/>
    <col min="11060" max="11060" width="5.7109375" style="1" customWidth="1"/>
    <col min="11061" max="11061" width="19" style="1" customWidth="1"/>
    <col min="11062" max="11068" width="5.7109375" style="1" customWidth="1"/>
    <col min="11069" max="11069" width="5" style="1" customWidth="1"/>
    <col min="11070" max="11076" width="5.7109375" style="1" customWidth="1"/>
    <col min="11077" max="11077" width="7.140625" style="1" customWidth="1"/>
    <col min="11078" max="11078" width="7.28515625" style="1" customWidth="1"/>
    <col min="11079" max="11087" width="5.7109375" style="1" customWidth="1"/>
    <col min="11088" max="11088" width="5.140625" style="1" customWidth="1"/>
    <col min="11089" max="11091" width="5.7109375" style="1" customWidth="1"/>
    <col min="11092" max="11092" width="7.7109375" style="1" customWidth="1"/>
    <col min="11093" max="11093" width="7" style="1" customWidth="1"/>
    <col min="11094" max="11094" width="6.85546875" style="1" customWidth="1"/>
    <col min="11095" max="11095" width="18.7109375" style="1" customWidth="1"/>
    <col min="11096" max="11266" width="8.42578125" style="1"/>
    <col min="11267" max="11267" width="11.5703125" style="1" customWidth="1"/>
    <col min="11268" max="11268" width="19.5703125" style="1" customWidth="1"/>
    <col min="11269" max="11269" width="10.7109375" style="1" customWidth="1"/>
    <col min="11270" max="11270" width="9.7109375" style="1" customWidth="1"/>
    <col min="11271" max="11275" width="8.140625" style="1" customWidth="1"/>
    <col min="11276" max="11276" width="10" style="1" customWidth="1"/>
    <col min="11277" max="11277" width="8.140625" style="1" customWidth="1"/>
    <col min="11278" max="11278" width="18.5703125" style="1" customWidth="1"/>
    <col min="11279" max="11279" width="6.140625" style="1" customWidth="1"/>
    <col min="11280" max="11280" width="4.140625" style="1" customWidth="1"/>
    <col min="11281" max="11281" width="5.5703125" style="1" customWidth="1"/>
    <col min="11282" max="11282" width="5.85546875" style="1" customWidth="1"/>
    <col min="11283" max="11283" width="4.42578125" style="1" customWidth="1"/>
    <col min="11284" max="11284" width="5.140625" style="1" customWidth="1"/>
    <col min="11285" max="11285" width="5.42578125" style="1" customWidth="1"/>
    <col min="11286" max="11286" width="4.85546875" style="1" customWidth="1"/>
    <col min="11287" max="11287" width="5.140625" style="1" customWidth="1"/>
    <col min="11288" max="11288" width="5.42578125" style="1" customWidth="1"/>
    <col min="11289" max="11289" width="4.140625" style="1" customWidth="1"/>
    <col min="11290" max="11290" width="5.5703125" style="1" customWidth="1"/>
    <col min="11291" max="11291" width="9.28515625" style="1" customWidth="1"/>
    <col min="11292" max="11293" width="7" style="1" customWidth="1"/>
    <col min="11294" max="11294" width="18.140625" style="1" customWidth="1"/>
    <col min="11295" max="11295" width="5" style="1" customWidth="1"/>
    <col min="11296" max="11296" width="4.42578125" style="1" customWidth="1"/>
    <col min="11297" max="11298" width="5.28515625" style="1" customWidth="1"/>
    <col min="11299" max="11299" width="4.85546875" style="1" customWidth="1"/>
    <col min="11300" max="11300" width="5.42578125" style="1" customWidth="1"/>
    <col min="11301" max="11301" width="5.140625" style="1" customWidth="1"/>
    <col min="11302" max="11302" width="5" style="1" customWidth="1"/>
    <col min="11303" max="11303" width="5.7109375" style="1" customWidth="1"/>
    <col min="11304" max="11304" width="3.85546875" style="1" customWidth="1"/>
    <col min="11305" max="11305" width="5.28515625" style="1" customWidth="1"/>
    <col min="11306" max="11306" width="6.28515625" style="1" customWidth="1"/>
    <col min="11307" max="11307" width="4.5703125" style="1" customWidth="1"/>
    <col min="11308" max="11308" width="5" style="1" customWidth="1"/>
    <col min="11309" max="11309" width="5.85546875" style="1" customWidth="1"/>
    <col min="11310" max="11311" width="4.85546875" style="1" customWidth="1"/>
    <col min="11312" max="11312" width="5.140625" style="1" customWidth="1"/>
    <col min="11313" max="11313" width="8.7109375" style="1" customWidth="1"/>
    <col min="11314" max="11315" width="6.7109375" style="1" customWidth="1"/>
    <col min="11316" max="11316" width="5.7109375" style="1" customWidth="1"/>
    <col min="11317" max="11317" width="19" style="1" customWidth="1"/>
    <col min="11318" max="11324" width="5.7109375" style="1" customWidth="1"/>
    <col min="11325" max="11325" width="5" style="1" customWidth="1"/>
    <col min="11326" max="11332" width="5.7109375" style="1" customWidth="1"/>
    <col min="11333" max="11333" width="7.140625" style="1" customWidth="1"/>
    <col min="11334" max="11334" width="7.28515625" style="1" customWidth="1"/>
    <col min="11335" max="11343" width="5.7109375" style="1" customWidth="1"/>
    <col min="11344" max="11344" width="5.140625" style="1" customWidth="1"/>
    <col min="11345" max="11347" width="5.7109375" style="1" customWidth="1"/>
    <col min="11348" max="11348" width="7.7109375" style="1" customWidth="1"/>
    <col min="11349" max="11349" width="7" style="1" customWidth="1"/>
    <col min="11350" max="11350" width="6.85546875" style="1" customWidth="1"/>
    <col min="11351" max="11351" width="18.7109375" style="1" customWidth="1"/>
    <col min="11352" max="11522" width="8.42578125" style="1"/>
    <col min="11523" max="11523" width="11.5703125" style="1" customWidth="1"/>
    <col min="11524" max="11524" width="19.5703125" style="1" customWidth="1"/>
    <col min="11525" max="11525" width="10.7109375" style="1" customWidth="1"/>
    <col min="11526" max="11526" width="9.7109375" style="1" customWidth="1"/>
    <col min="11527" max="11531" width="8.140625" style="1" customWidth="1"/>
    <col min="11532" max="11532" width="10" style="1" customWidth="1"/>
    <col min="11533" max="11533" width="8.140625" style="1" customWidth="1"/>
    <col min="11534" max="11534" width="18.5703125" style="1" customWidth="1"/>
    <col min="11535" max="11535" width="6.140625" style="1" customWidth="1"/>
    <col min="11536" max="11536" width="4.140625" style="1" customWidth="1"/>
    <col min="11537" max="11537" width="5.5703125" style="1" customWidth="1"/>
    <col min="11538" max="11538" width="5.85546875" style="1" customWidth="1"/>
    <col min="11539" max="11539" width="4.42578125" style="1" customWidth="1"/>
    <col min="11540" max="11540" width="5.140625" style="1" customWidth="1"/>
    <col min="11541" max="11541" width="5.42578125" style="1" customWidth="1"/>
    <col min="11542" max="11542" width="4.85546875" style="1" customWidth="1"/>
    <col min="11543" max="11543" width="5.140625" style="1" customWidth="1"/>
    <col min="11544" max="11544" width="5.42578125" style="1" customWidth="1"/>
    <col min="11545" max="11545" width="4.140625" style="1" customWidth="1"/>
    <col min="11546" max="11546" width="5.5703125" style="1" customWidth="1"/>
    <col min="11547" max="11547" width="9.28515625" style="1" customWidth="1"/>
    <col min="11548" max="11549" width="7" style="1" customWidth="1"/>
    <col min="11550" max="11550" width="18.140625" style="1" customWidth="1"/>
    <col min="11551" max="11551" width="5" style="1" customWidth="1"/>
    <col min="11552" max="11552" width="4.42578125" style="1" customWidth="1"/>
    <col min="11553" max="11554" width="5.28515625" style="1" customWidth="1"/>
    <col min="11555" max="11555" width="4.85546875" style="1" customWidth="1"/>
    <col min="11556" max="11556" width="5.42578125" style="1" customWidth="1"/>
    <col min="11557" max="11557" width="5.140625" style="1" customWidth="1"/>
    <col min="11558" max="11558" width="5" style="1" customWidth="1"/>
    <col min="11559" max="11559" width="5.7109375" style="1" customWidth="1"/>
    <col min="11560" max="11560" width="3.85546875" style="1" customWidth="1"/>
    <col min="11561" max="11561" width="5.28515625" style="1" customWidth="1"/>
    <col min="11562" max="11562" width="6.28515625" style="1" customWidth="1"/>
    <col min="11563" max="11563" width="4.5703125" style="1" customWidth="1"/>
    <col min="11564" max="11564" width="5" style="1" customWidth="1"/>
    <col min="11565" max="11565" width="5.85546875" style="1" customWidth="1"/>
    <col min="11566" max="11567" width="4.85546875" style="1" customWidth="1"/>
    <col min="11568" max="11568" width="5.140625" style="1" customWidth="1"/>
    <col min="11569" max="11569" width="8.7109375" style="1" customWidth="1"/>
    <col min="11570" max="11571" width="6.7109375" style="1" customWidth="1"/>
    <col min="11572" max="11572" width="5.7109375" style="1" customWidth="1"/>
    <col min="11573" max="11573" width="19" style="1" customWidth="1"/>
    <col min="11574" max="11580" width="5.7109375" style="1" customWidth="1"/>
    <col min="11581" max="11581" width="5" style="1" customWidth="1"/>
    <col min="11582" max="11588" width="5.7109375" style="1" customWidth="1"/>
    <col min="11589" max="11589" width="7.140625" style="1" customWidth="1"/>
    <col min="11590" max="11590" width="7.28515625" style="1" customWidth="1"/>
    <col min="11591" max="11599" width="5.7109375" style="1" customWidth="1"/>
    <col min="11600" max="11600" width="5.140625" style="1" customWidth="1"/>
    <col min="11601" max="11603" width="5.7109375" style="1" customWidth="1"/>
    <col min="11604" max="11604" width="7.7109375" style="1" customWidth="1"/>
    <col min="11605" max="11605" width="7" style="1" customWidth="1"/>
    <col min="11606" max="11606" width="6.85546875" style="1" customWidth="1"/>
    <col min="11607" max="11607" width="18.7109375" style="1" customWidth="1"/>
    <col min="11608" max="11778" width="8.42578125" style="1"/>
    <col min="11779" max="11779" width="11.5703125" style="1" customWidth="1"/>
    <col min="11780" max="11780" width="19.5703125" style="1" customWidth="1"/>
    <col min="11781" max="11781" width="10.7109375" style="1" customWidth="1"/>
    <col min="11782" max="11782" width="9.7109375" style="1" customWidth="1"/>
    <col min="11783" max="11787" width="8.140625" style="1" customWidth="1"/>
    <col min="11788" max="11788" width="10" style="1" customWidth="1"/>
    <col min="11789" max="11789" width="8.140625" style="1" customWidth="1"/>
    <col min="11790" max="11790" width="18.5703125" style="1" customWidth="1"/>
    <col min="11791" max="11791" width="6.140625" style="1" customWidth="1"/>
    <col min="11792" max="11792" width="4.140625" style="1" customWidth="1"/>
    <col min="11793" max="11793" width="5.5703125" style="1" customWidth="1"/>
    <col min="11794" max="11794" width="5.85546875" style="1" customWidth="1"/>
    <col min="11795" max="11795" width="4.42578125" style="1" customWidth="1"/>
    <col min="11796" max="11796" width="5.140625" style="1" customWidth="1"/>
    <col min="11797" max="11797" width="5.42578125" style="1" customWidth="1"/>
    <col min="11798" max="11798" width="4.85546875" style="1" customWidth="1"/>
    <col min="11799" max="11799" width="5.140625" style="1" customWidth="1"/>
    <col min="11800" max="11800" width="5.42578125" style="1" customWidth="1"/>
    <col min="11801" max="11801" width="4.140625" style="1" customWidth="1"/>
    <col min="11802" max="11802" width="5.5703125" style="1" customWidth="1"/>
    <col min="11803" max="11803" width="9.28515625" style="1" customWidth="1"/>
    <col min="11804" max="11805" width="7" style="1" customWidth="1"/>
    <col min="11806" max="11806" width="18.140625" style="1" customWidth="1"/>
    <col min="11807" max="11807" width="5" style="1" customWidth="1"/>
    <col min="11808" max="11808" width="4.42578125" style="1" customWidth="1"/>
    <col min="11809" max="11810" width="5.28515625" style="1" customWidth="1"/>
    <col min="11811" max="11811" width="4.85546875" style="1" customWidth="1"/>
    <col min="11812" max="11812" width="5.42578125" style="1" customWidth="1"/>
    <col min="11813" max="11813" width="5.140625" style="1" customWidth="1"/>
    <col min="11814" max="11814" width="5" style="1" customWidth="1"/>
    <col min="11815" max="11815" width="5.7109375" style="1" customWidth="1"/>
    <col min="11816" max="11816" width="3.85546875" style="1" customWidth="1"/>
    <col min="11817" max="11817" width="5.28515625" style="1" customWidth="1"/>
    <col min="11818" max="11818" width="6.28515625" style="1" customWidth="1"/>
    <col min="11819" max="11819" width="4.5703125" style="1" customWidth="1"/>
    <col min="11820" max="11820" width="5" style="1" customWidth="1"/>
    <col min="11821" max="11821" width="5.85546875" style="1" customWidth="1"/>
    <col min="11822" max="11823" width="4.85546875" style="1" customWidth="1"/>
    <col min="11824" max="11824" width="5.140625" style="1" customWidth="1"/>
    <col min="11825" max="11825" width="8.7109375" style="1" customWidth="1"/>
    <col min="11826" max="11827" width="6.7109375" style="1" customWidth="1"/>
    <col min="11828" max="11828" width="5.7109375" style="1" customWidth="1"/>
    <col min="11829" max="11829" width="19" style="1" customWidth="1"/>
    <col min="11830" max="11836" width="5.7109375" style="1" customWidth="1"/>
    <col min="11837" max="11837" width="5" style="1" customWidth="1"/>
    <col min="11838" max="11844" width="5.7109375" style="1" customWidth="1"/>
    <col min="11845" max="11845" width="7.140625" style="1" customWidth="1"/>
    <col min="11846" max="11846" width="7.28515625" style="1" customWidth="1"/>
    <col min="11847" max="11855" width="5.7109375" style="1" customWidth="1"/>
    <col min="11856" max="11856" width="5.140625" style="1" customWidth="1"/>
    <col min="11857" max="11859" width="5.7109375" style="1" customWidth="1"/>
    <col min="11860" max="11860" width="7.7109375" style="1" customWidth="1"/>
    <col min="11861" max="11861" width="7" style="1" customWidth="1"/>
    <col min="11862" max="11862" width="6.85546875" style="1" customWidth="1"/>
    <col min="11863" max="11863" width="18.7109375" style="1" customWidth="1"/>
    <col min="11864" max="12034" width="8.42578125" style="1"/>
    <col min="12035" max="12035" width="11.5703125" style="1" customWidth="1"/>
    <col min="12036" max="12036" width="19.5703125" style="1" customWidth="1"/>
    <col min="12037" max="12037" width="10.7109375" style="1" customWidth="1"/>
    <col min="12038" max="12038" width="9.7109375" style="1" customWidth="1"/>
    <col min="12039" max="12043" width="8.140625" style="1" customWidth="1"/>
    <col min="12044" max="12044" width="10" style="1" customWidth="1"/>
    <col min="12045" max="12045" width="8.140625" style="1" customWidth="1"/>
    <col min="12046" max="12046" width="18.5703125" style="1" customWidth="1"/>
    <col min="12047" max="12047" width="6.140625" style="1" customWidth="1"/>
    <col min="12048" max="12048" width="4.140625" style="1" customWidth="1"/>
    <col min="12049" max="12049" width="5.5703125" style="1" customWidth="1"/>
    <col min="12050" max="12050" width="5.85546875" style="1" customWidth="1"/>
    <col min="12051" max="12051" width="4.42578125" style="1" customWidth="1"/>
    <col min="12052" max="12052" width="5.140625" style="1" customWidth="1"/>
    <col min="12053" max="12053" width="5.42578125" style="1" customWidth="1"/>
    <col min="12054" max="12054" width="4.85546875" style="1" customWidth="1"/>
    <col min="12055" max="12055" width="5.140625" style="1" customWidth="1"/>
    <col min="12056" max="12056" width="5.42578125" style="1" customWidth="1"/>
    <col min="12057" max="12057" width="4.140625" style="1" customWidth="1"/>
    <col min="12058" max="12058" width="5.5703125" style="1" customWidth="1"/>
    <col min="12059" max="12059" width="9.28515625" style="1" customWidth="1"/>
    <col min="12060" max="12061" width="7" style="1" customWidth="1"/>
    <col min="12062" max="12062" width="18.140625" style="1" customWidth="1"/>
    <col min="12063" max="12063" width="5" style="1" customWidth="1"/>
    <col min="12064" max="12064" width="4.42578125" style="1" customWidth="1"/>
    <col min="12065" max="12066" width="5.28515625" style="1" customWidth="1"/>
    <col min="12067" max="12067" width="4.85546875" style="1" customWidth="1"/>
    <col min="12068" max="12068" width="5.42578125" style="1" customWidth="1"/>
    <col min="12069" max="12069" width="5.140625" style="1" customWidth="1"/>
    <col min="12070" max="12070" width="5" style="1" customWidth="1"/>
    <col min="12071" max="12071" width="5.7109375" style="1" customWidth="1"/>
    <col min="12072" max="12072" width="3.85546875" style="1" customWidth="1"/>
    <col min="12073" max="12073" width="5.28515625" style="1" customWidth="1"/>
    <col min="12074" max="12074" width="6.28515625" style="1" customWidth="1"/>
    <col min="12075" max="12075" width="4.5703125" style="1" customWidth="1"/>
    <col min="12076" max="12076" width="5" style="1" customWidth="1"/>
    <col min="12077" max="12077" width="5.85546875" style="1" customWidth="1"/>
    <col min="12078" max="12079" width="4.85546875" style="1" customWidth="1"/>
    <col min="12080" max="12080" width="5.140625" style="1" customWidth="1"/>
    <col min="12081" max="12081" width="8.7109375" style="1" customWidth="1"/>
    <col min="12082" max="12083" width="6.7109375" style="1" customWidth="1"/>
    <col min="12084" max="12084" width="5.7109375" style="1" customWidth="1"/>
    <col min="12085" max="12085" width="19" style="1" customWidth="1"/>
    <col min="12086" max="12092" width="5.7109375" style="1" customWidth="1"/>
    <col min="12093" max="12093" width="5" style="1" customWidth="1"/>
    <col min="12094" max="12100" width="5.7109375" style="1" customWidth="1"/>
    <col min="12101" max="12101" width="7.140625" style="1" customWidth="1"/>
    <col min="12102" max="12102" width="7.28515625" style="1" customWidth="1"/>
    <col min="12103" max="12111" width="5.7109375" style="1" customWidth="1"/>
    <col min="12112" max="12112" width="5.140625" style="1" customWidth="1"/>
    <col min="12113" max="12115" width="5.7109375" style="1" customWidth="1"/>
    <col min="12116" max="12116" width="7.7109375" style="1" customWidth="1"/>
    <col min="12117" max="12117" width="7" style="1" customWidth="1"/>
    <col min="12118" max="12118" width="6.85546875" style="1" customWidth="1"/>
    <col min="12119" max="12119" width="18.7109375" style="1" customWidth="1"/>
    <col min="12120" max="12290" width="8.42578125" style="1"/>
    <col min="12291" max="12291" width="11.5703125" style="1" customWidth="1"/>
    <col min="12292" max="12292" width="19.5703125" style="1" customWidth="1"/>
    <col min="12293" max="12293" width="10.7109375" style="1" customWidth="1"/>
    <col min="12294" max="12294" width="9.7109375" style="1" customWidth="1"/>
    <col min="12295" max="12299" width="8.140625" style="1" customWidth="1"/>
    <col min="12300" max="12300" width="10" style="1" customWidth="1"/>
    <col min="12301" max="12301" width="8.140625" style="1" customWidth="1"/>
    <col min="12302" max="12302" width="18.5703125" style="1" customWidth="1"/>
    <col min="12303" max="12303" width="6.140625" style="1" customWidth="1"/>
    <col min="12304" max="12304" width="4.140625" style="1" customWidth="1"/>
    <col min="12305" max="12305" width="5.5703125" style="1" customWidth="1"/>
    <col min="12306" max="12306" width="5.85546875" style="1" customWidth="1"/>
    <col min="12307" max="12307" width="4.42578125" style="1" customWidth="1"/>
    <col min="12308" max="12308" width="5.140625" style="1" customWidth="1"/>
    <col min="12309" max="12309" width="5.42578125" style="1" customWidth="1"/>
    <col min="12310" max="12310" width="4.85546875" style="1" customWidth="1"/>
    <col min="12311" max="12311" width="5.140625" style="1" customWidth="1"/>
    <col min="12312" max="12312" width="5.42578125" style="1" customWidth="1"/>
    <col min="12313" max="12313" width="4.140625" style="1" customWidth="1"/>
    <col min="12314" max="12314" width="5.5703125" style="1" customWidth="1"/>
    <col min="12315" max="12315" width="9.28515625" style="1" customWidth="1"/>
    <col min="12316" max="12317" width="7" style="1" customWidth="1"/>
    <col min="12318" max="12318" width="18.140625" style="1" customWidth="1"/>
    <col min="12319" max="12319" width="5" style="1" customWidth="1"/>
    <col min="12320" max="12320" width="4.42578125" style="1" customWidth="1"/>
    <col min="12321" max="12322" width="5.28515625" style="1" customWidth="1"/>
    <col min="12323" max="12323" width="4.85546875" style="1" customWidth="1"/>
    <col min="12324" max="12324" width="5.42578125" style="1" customWidth="1"/>
    <col min="12325" max="12325" width="5.140625" style="1" customWidth="1"/>
    <col min="12326" max="12326" width="5" style="1" customWidth="1"/>
    <col min="12327" max="12327" width="5.7109375" style="1" customWidth="1"/>
    <col min="12328" max="12328" width="3.85546875" style="1" customWidth="1"/>
    <col min="12329" max="12329" width="5.28515625" style="1" customWidth="1"/>
    <col min="12330" max="12330" width="6.28515625" style="1" customWidth="1"/>
    <col min="12331" max="12331" width="4.5703125" style="1" customWidth="1"/>
    <col min="12332" max="12332" width="5" style="1" customWidth="1"/>
    <col min="12333" max="12333" width="5.85546875" style="1" customWidth="1"/>
    <col min="12334" max="12335" width="4.85546875" style="1" customWidth="1"/>
    <col min="12336" max="12336" width="5.140625" style="1" customWidth="1"/>
    <col min="12337" max="12337" width="8.7109375" style="1" customWidth="1"/>
    <col min="12338" max="12339" width="6.7109375" style="1" customWidth="1"/>
    <col min="12340" max="12340" width="5.7109375" style="1" customWidth="1"/>
    <col min="12341" max="12341" width="19" style="1" customWidth="1"/>
    <col min="12342" max="12348" width="5.7109375" style="1" customWidth="1"/>
    <col min="12349" max="12349" width="5" style="1" customWidth="1"/>
    <col min="12350" max="12356" width="5.7109375" style="1" customWidth="1"/>
    <col min="12357" max="12357" width="7.140625" style="1" customWidth="1"/>
    <col min="12358" max="12358" width="7.28515625" style="1" customWidth="1"/>
    <col min="12359" max="12367" width="5.7109375" style="1" customWidth="1"/>
    <col min="12368" max="12368" width="5.140625" style="1" customWidth="1"/>
    <col min="12369" max="12371" width="5.7109375" style="1" customWidth="1"/>
    <col min="12372" max="12372" width="7.7109375" style="1" customWidth="1"/>
    <col min="12373" max="12373" width="7" style="1" customWidth="1"/>
    <col min="12374" max="12374" width="6.85546875" style="1" customWidth="1"/>
    <col min="12375" max="12375" width="18.7109375" style="1" customWidth="1"/>
    <col min="12376" max="12546" width="8.42578125" style="1"/>
    <col min="12547" max="12547" width="11.5703125" style="1" customWidth="1"/>
    <col min="12548" max="12548" width="19.5703125" style="1" customWidth="1"/>
    <col min="12549" max="12549" width="10.7109375" style="1" customWidth="1"/>
    <col min="12550" max="12550" width="9.7109375" style="1" customWidth="1"/>
    <col min="12551" max="12555" width="8.140625" style="1" customWidth="1"/>
    <col min="12556" max="12556" width="10" style="1" customWidth="1"/>
    <col min="12557" max="12557" width="8.140625" style="1" customWidth="1"/>
    <col min="12558" max="12558" width="18.5703125" style="1" customWidth="1"/>
    <col min="12559" max="12559" width="6.140625" style="1" customWidth="1"/>
    <col min="12560" max="12560" width="4.140625" style="1" customWidth="1"/>
    <col min="12561" max="12561" width="5.5703125" style="1" customWidth="1"/>
    <col min="12562" max="12562" width="5.85546875" style="1" customWidth="1"/>
    <col min="12563" max="12563" width="4.42578125" style="1" customWidth="1"/>
    <col min="12564" max="12564" width="5.140625" style="1" customWidth="1"/>
    <col min="12565" max="12565" width="5.42578125" style="1" customWidth="1"/>
    <col min="12566" max="12566" width="4.85546875" style="1" customWidth="1"/>
    <col min="12567" max="12567" width="5.140625" style="1" customWidth="1"/>
    <col min="12568" max="12568" width="5.42578125" style="1" customWidth="1"/>
    <col min="12569" max="12569" width="4.140625" style="1" customWidth="1"/>
    <col min="12570" max="12570" width="5.5703125" style="1" customWidth="1"/>
    <col min="12571" max="12571" width="9.28515625" style="1" customWidth="1"/>
    <col min="12572" max="12573" width="7" style="1" customWidth="1"/>
    <col min="12574" max="12574" width="18.140625" style="1" customWidth="1"/>
    <col min="12575" max="12575" width="5" style="1" customWidth="1"/>
    <col min="12576" max="12576" width="4.42578125" style="1" customWidth="1"/>
    <col min="12577" max="12578" width="5.28515625" style="1" customWidth="1"/>
    <col min="12579" max="12579" width="4.85546875" style="1" customWidth="1"/>
    <col min="12580" max="12580" width="5.42578125" style="1" customWidth="1"/>
    <col min="12581" max="12581" width="5.140625" style="1" customWidth="1"/>
    <col min="12582" max="12582" width="5" style="1" customWidth="1"/>
    <col min="12583" max="12583" width="5.7109375" style="1" customWidth="1"/>
    <col min="12584" max="12584" width="3.85546875" style="1" customWidth="1"/>
    <col min="12585" max="12585" width="5.28515625" style="1" customWidth="1"/>
    <col min="12586" max="12586" width="6.28515625" style="1" customWidth="1"/>
    <col min="12587" max="12587" width="4.5703125" style="1" customWidth="1"/>
    <col min="12588" max="12588" width="5" style="1" customWidth="1"/>
    <col min="12589" max="12589" width="5.85546875" style="1" customWidth="1"/>
    <col min="12590" max="12591" width="4.85546875" style="1" customWidth="1"/>
    <col min="12592" max="12592" width="5.140625" style="1" customWidth="1"/>
    <col min="12593" max="12593" width="8.7109375" style="1" customWidth="1"/>
    <col min="12594" max="12595" width="6.7109375" style="1" customWidth="1"/>
    <col min="12596" max="12596" width="5.7109375" style="1" customWidth="1"/>
    <col min="12597" max="12597" width="19" style="1" customWidth="1"/>
    <col min="12598" max="12604" width="5.7109375" style="1" customWidth="1"/>
    <col min="12605" max="12605" width="5" style="1" customWidth="1"/>
    <col min="12606" max="12612" width="5.7109375" style="1" customWidth="1"/>
    <col min="12613" max="12613" width="7.140625" style="1" customWidth="1"/>
    <col min="12614" max="12614" width="7.28515625" style="1" customWidth="1"/>
    <col min="12615" max="12623" width="5.7109375" style="1" customWidth="1"/>
    <col min="12624" max="12624" width="5.140625" style="1" customWidth="1"/>
    <col min="12625" max="12627" width="5.7109375" style="1" customWidth="1"/>
    <col min="12628" max="12628" width="7.7109375" style="1" customWidth="1"/>
    <col min="12629" max="12629" width="7" style="1" customWidth="1"/>
    <col min="12630" max="12630" width="6.85546875" style="1" customWidth="1"/>
    <col min="12631" max="12631" width="18.7109375" style="1" customWidth="1"/>
    <col min="12632" max="12802" width="8.42578125" style="1"/>
    <col min="12803" max="12803" width="11.5703125" style="1" customWidth="1"/>
    <col min="12804" max="12804" width="19.5703125" style="1" customWidth="1"/>
    <col min="12805" max="12805" width="10.7109375" style="1" customWidth="1"/>
    <col min="12806" max="12806" width="9.7109375" style="1" customWidth="1"/>
    <col min="12807" max="12811" width="8.140625" style="1" customWidth="1"/>
    <col min="12812" max="12812" width="10" style="1" customWidth="1"/>
    <col min="12813" max="12813" width="8.140625" style="1" customWidth="1"/>
    <col min="12814" max="12814" width="18.5703125" style="1" customWidth="1"/>
    <col min="12815" max="12815" width="6.140625" style="1" customWidth="1"/>
    <col min="12816" max="12816" width="4.140625" style="1" customWidth="1"/>
    <col min="12817" max="12817" width="5.5703125" style="1" customWidth="1"/>
    <col min="12818" max="12818" width="5.85546875" style="1" customWidth="1"/>
    <col min="12819" max="12819" width="4.42578125" style="1" customWidth="1"/>
    <col min="12820" max="12820" width="5.140625" style="1" customWidth="1"/>
    <col min="12821" max="12821" width="5.42578125" style="1" customWidth="1"/>
    <col min="12822" max="12822" width="4.85546875" style="1" customWidth="1"/>
    <col min="12823" max="12823" width="5.140625" style="1" customWidth="1"/>
    <col min="12824" max="12824" width="5.42578125" style="1" customWidth="1"/>
    <col min="12825" max="12825" width="4.140625" style="1" customWidth="1"/>
    <col min="12826" max="12826" width="5.5703125" style="1" customWidth="1"/>
    <col min="12827" max="12827" width="9.28515625" style="1" customWidth="1"/>
    <col min="12828" max="12829" width="7" style="1" customWidth="1"/>
    <col min="12830" max="12830" width="18.140625" style="1" customWidth="1"/>
    <col min="12831" max="12831" width="5" style="1" customWidth="1"/>
    <col min="12832" max="12832" width="4.42578125" style="1" customWidth="1"/>
    <col min="12833" max="12834" width="5.28515625" style="1" customWidth="1"/>
    <col min="12835" max="12835" width="4.85546875" style="1" customWidth="1"/>
    <col min="12836" max="12836" width="5.42578125" style="1" customWidth="1"/>
    <col min="12837" max="12837" width="5.140625" style="1" customWidth="1"/>
    <col min="12838" max="12838" width="5" style="1" customWidth="1"/>
    <col min="12839" max="12839" width="5.7109375" style="1" customWidth="1"/>
    <col min="12840" max="12840" width="3.85546875" style="1" customWidth="1"/>
    <col min="12841" max="12841" width="5.28515625" style="1" customWidth="1"/>
    <col min="12842" max="12842" width="6.28515625" style="1" customWidth="1"/>
    <col min="12843" max="12843" width="4.5703125" style="1" customWidth="1"/>
    <col min="12844" max="12844" width="5" style="1" customWidth="1"/>
    <col min="12845" max="12845" width="5.85546875" style="1" customWidth="1"/>
    <col min="12846" max="12847" width="4.85546875" style="1" customWidth="1"/>
    <col min="12848" max="12848" width="5.140625" style="1" customWidth="1"/>
    <col min="12849" max="12849" width="8.7109375" style="1" customWidth="1"/>
    <col min="12850" max="12851" width="6.7109375" style="1" customWidth="1"/>
    <col min="12852" max="12852" width="5.7109375" style="1" customWidth="1"/>
    <col min="12853" max="12853" width="19" style="1" customWidth="1"/>
    <col min="12854" max="12860" width="5.7109375" style="1" customWidth="1"/>
    <col min="12861" max="12861" width="5" style="1" customWidth="1"/>
    <col min="12862" max="12868" width="5.7109375" style="1" customWidth="1"/>
    <col min="12869" max="12869" width="7.140625" style="1" customWidth="1"/>
    <col min="12870" max="12870" width="7.28515625" style="1" customWidth="1"/>
    <col min="12871" max="12879" width="5.7109375" style="1" customWidth="1"/>
    <col min="12880" max="12880" width="5.140625" style="1" customWidth="1"/>
    <col min="12881" max="12883" width="5.7109375" style="1" customWidth="1"/>
    <col min="12884" max="12884" width="7.7109375" style="1" customWidth="1"/>
    <col min="12885" max="12885" width="7" style="1" customWidth="1"/>
    <col min="12886" max="12886" width="6.85546875" style="1" customWidth="1"/>
    <col min="12887" max="12887" width="18.7109375" style="1" customWidth="1"/>
    <col min="12888" max="13058" width="8.42578125" style="1"/>
    <col min="13059" max="13059" width="11.5703125" style="1" customWidth="1"/>
    <col min="13060" max="13060" width="19.5703125" style="1" customWidth="1"/>
    <col min="13061" max="13061" width="10.7109375" style="1" customWidth="1"/>
    <col min="13062" max="13062" width="9.7109375" style="1" customWidth="1"/>
    <col min="13063" max="13067" width="8.140625" style="1" customWidth="1"/>
    <col min="13068" max="13068" width="10" style="1" customWidth="1"/>
    <col min="13069" max="13069" width="8.140625" style="1" customWidth="1"/>
    <col min="13070" max="13070" width="18.5703125" style="1" customWidth="1"/>
    <col min="13071" max="13071" width="6.140625" style="1" customWidth="1"/>
    <col min="13072" max="13072" width="4.140625" style="1" customWidth="1"/>
    <col min="13073" max="13073" width="5.5703125" style="1" customWidth="1"/>
    <col min="13074" max="13074" width="5.85546875" style="1" customWidth="1"/>
    <col min="13075" max="13075" width="4.42578125" style="1" customWidth="1"/>
    <col min="13076" max="13076" width="5.140625" style="1" customWidth="1"/>
    <col min="13077" max="13077" width="5.42578125" style="1" customWidth="1"/>
    <col min="13078" max="13078" width="4.85546875" style="1" customWidth="1"/>
    <col min="13079" max="13079" width="5.140625" style="1" customWidth="1"/>
    <col min="13080" max="13080" width="5.42578125" style="1" customWidth="1"/>
    <col min="13081" max="13081" width="4.140625" style="1" customWidth="1"/>
    <col min="13082" max="13082" width="5.5703125" style="1" customWidth="1"/>
    <col min="13083" max="13083" width="9.28515625" style="1" customWidth="1"/>
    <col min="13084" max="13085" width="7" style="1" customWidth="1"/>
    <col min="13086" max="13086" width="18.140625" style="1" customWidth="1"/>
    <col min="13087" max="13087" width="5" style="1" customWidth="1"/>
    <col min="13088" max="13088" width="4.42578125" style="1" customWidth="1"/>
    <col min="13089" max="13090" width="5.28515625" style="1" customWidth="1"/>
    <col min="13091" max="13091" width="4.85546875" style="1" customWidth="1"/>
    <col min="13092" max="13092" width="5.42578125" style="1" customWidth="1"/>
    <col min="13093" max="13093" width="5.140625" style="1" customWidth="1"/>
    <col min="13094" max="13094" width="5" style="1" customWidth="1"/>
    <col min="13095" max="13095" width="5.7109375" style="1" customWidth="1"/>
    <col min="13096" max="13096" width="3.85546875" style="1" customWidth="1"/>
    <col min="13097" max="13097" width="5.28515625" style="1" customWidth="1"/>
    <col min="13098" max="13098" width="6.28515625" style="1" customWidth="1"/>
    <col min="13099" max="13099" width="4.5703125" style="1" customWidth="1"/>
    <col min="13100" max="13100" width="5" style="1" customWidth="1"/>
    <col min="13101" max="13101" width="5.85546875" style="1" customWidth="1"/>
    <col min="13102" max="13103" width="4.85546875" style="1" customWidth="1"/>
    <col min="13104" max="13104" width="5.140625" style="1" customWidth="1"/>
    <col min="13105" max="13105" width="8.7109375" style="1" customWidth="1"/>
    <col min="13106" max="13107" width="6.7109375" style="1" customWidth="1"/>
    <col min="13108" max="13108" width="5.7109375" style="1" customWidth="1"/>
    <col min="13109" max="13109" width="19" style="1" customWidth="1"/>
    <col min="13110" max="13116" width="5.7109375" style="1" customWidth="1"/>
    <col min="13117" max="13117" width="5" style="1" customWidth="1"/>
    <col min="13118" max="13124" width="5.7109375" style="1" customWidth="1"/>
    <col min="13125" max="13125" width="7.140625" style="1" customWidth="1"/>
    <col min="13126" max="13126" width="7.28515625" style="1" customWidth="1"/>
    <col min="13127" max="13135" width="5.7109375" style="1" customWidth="1"/>
    <col min="13136" max="13136" width="5.140625" style="1" customWidth="1"/>
    <col min="13137" max="13139" width="5.7109375" style="1" customWidth="1"/>
    <col min="13140" max="13140" width="7.7109375" style="1" customWidth="1"/>
    <col min="13141" max="13141" width="7" style="1" customWidth="1"/>
    <col min="13142" max="13142" width="6.85546875" style="1" customWidth="1"/>
    <col min="13143" max="13143" width="18.7109375" style="1" customWidth="1"/>
    <col min="13144" max="13314" width="8.42578125" style="1"/>
    <col min="13315" max="13315" width="11.5703125" style="1" customWidth="1"/>
    <col min="13316" max="13316" width="19.5703125" style="1" customWidth="1"/>
    <col min="13317" max="13317" width="10.7109375" style="1" customWidth="1"/>
    <col min="13318" max="13318" width="9.7109375" style="1" customWidth="1"/>
    <col min="13319" max="13323" width="8.140625" style="1" customWidth="1"/>
    <col min="13324" max="13324" width="10" style="1" customWidth="1"/>
    <col min="13325" max="13325" width="8.140625" style="1" customWidth="1"/>
    <col min="13326" max="13326" width="18.5703125" style="1" customWidth="1"/>
    <col min="13327" max="13327" width="6.140625" style="1" customWidth="1"/>
    <col min="13328" max="13328" width="4.140625" style="1" customWidth="1"/>
    <col min="13329" max="13329" width="5.5703125" style="1" customWidth="1"/>
    <col min="13330" max="13330" width="5.85546875" style="1" customWidth="1"/>
    <col min="13331" max="13331" width="4.42578125" style="1" customWidth="1"/>
    <col min="13332" max="13332" width="5.140625" style="1" customWidth="1"/>
    <col min="13333" max="13333" width="5.42578125" style="1" customWidth="1"/>
    <col min="13334" max="13334" width="4.85546875" style="1" customWidth="1"/>
    <col min="13335" max="13335" width="5.140625" style="1" customWidth="1"/>
    <col min="13336" max="13336" width="5.42578125" style="1" customWidth="1"/>
    <col min="13337" max="13337" width="4.140625" style="1" customWidth="1"/>
    <col min="13338" max="13338" width="5.5703125" style="1" customWidth="1"/>
    <col min="13339" max="13339" width="9.28515625" style="1" customWidth="1"/>
    <col min="13340" max="13341" width="7" style="1" customWidth="1"/>
    <col min="13342" max="13342" width="18.140625" style="1" customWidth="1"/>
    <col min="13343" max="13343" width="5" style="1" customWidth="1"/>
    <col min="13344" max="13344" width="4.42578125" style="1" customWidth="1"/>
    <col min="13345" max="13346" width="5.28515625" style="1" customWidth="1"/>
    <col min="13347" max="13347" width="4.85546875" style="1" customWidth="1"/>
    <col min="13348" max="13348" width="5.42578125" style="1" customWidth="1"/>
    <col min="13349" max="13349" width="5.140625" style="1" customWidth="1"/>
    <col min="13350" max="13350" width="5" style="1" customWidth="1"/>
    <col min="13351" max="13351" width="5.7109375" style="1" customWidth="1"/>
    <col min="13352" max="13352" width="3.85546875" style="1" customWidth="1"/>
    <col min="13353" max="13353" width="5.28515625" style="1" customWidth="1"/>
    <col min="13354" max="13354" width="6.28515625" style="1" customWidth="1"/>
    <col min="13355" max="13355" width="4.5703125" style="1" customWidth="1"/>
    <col min="13356" max="13356" width="5" style="1" customWidth="1"/>
    <col min="13357" max="13357" width="5.85546875" style="1" customWidth="1"/>
    <col min="13358" max="13359" width="4.85546875" style="1" customWidth="1"/>
    <col min="13360" max="13360" width="5.140625" style="1" customWidth="1"/>
    <col min="13361" max="13361" width="8.7109375" style="1" customWidth="1"/>
    <col min="13362" max="13363" width="6.7109375" style="1" customWidth="1"/>
    <col min="13364" max="13364" width="5.7109375" style="1" customWidth="1"/>
    <col min="13365" max="13365" width="19" style="1" customWidth="1"/>
    <col min="13366" max="13372" width="5.7109375" style="1" customWidth="1"/>
    <col min="13373" max="13373" width="5" style="1" customWidth="1"/>
    <col min="13374" max="13380" width="5.7109375" style="1" customWidth="1"/>
    <col min="13381" max="13381" width="7.140625" style="1" customWidth="1"/>
    <col min="13382" max="13382" width="7.28515625" style="1" customWidth="1"/>
    <col min="13383" max="13391" width="5.7109375" style="1" customWidth="1"/>
    <col min="13392" max="13392" width="5.140625" style="1" customWidth="1"/>
    <col min="13393" max="13395" width="5.7109375" style="1" customWidth="1"/>
    <col min="13396" max="13396" width="7.7109375" style="1" customWidth="1"/>
    <col min="13397" max="13397" width="7" style="1" customWidth="1"/>
    <col min="13398" max="13398" width="6.85546875" style="1" customWidth="1"/>
    <col min="13399" max="13399" width="18.7109375" style="1" customWidth="1"/>
    <col min="13400" max="13570" width="8.42578125" style="1"/>
    <col min="13571" max="13571" width="11.5703125" style="1" customWidth="1"/>
    <col min="13572" max="13572" width="19.5703125" style="1" customWidth="1"/>
    <col min="13573" max="13573" width="10.7109375" style="1" customWidth="1"/>
    <col min="13574" max="13574" width="9.7109375" style="1" customWidth="1"/>
    <col min="13575" max="13579" width="8.140625" style="1" customWidth="1"/>
    <col min="13580" max="13580" width="10" style="1" customWidth="1"/>
    <col min="13581" max="13581" width="8.140625" style="1" customWidth="1"/>
    <col min="13582" max="13582" width="18.5703125" style="1" customWidth="1"/>
    <col min="13583" max="13583" width="6.140625" style="1" customWidth="1"/>
    <col min="13584" max="13584" width="4.140625" style="1" customWidth="1"/>
    <col min="13585" max="13585" width="5.5703125" style="1" customWidth="1"/>
    <col min="13586" max="13586" width="5.85546875" style="1" customWidth="1"/>
    <col min="13587" max="13587" width="4.42578125" style="1" customWidth="1"/>
    <col min="13588" max="13588" width="5.140625" style="1" customWidth="1"/>
    <col min="13589" max="13589" width="5.42578125" style="1" customWidth="1"/>
    <col min="13590" max="13590" width="4.85546875" style="1" customWidth="1"/>
    <col min="13591" max="13591" width="5.140625" style="1" customWidth="1"/>
    <col min="13592" max="13592" width="5.42578125" style="1" customWidth="1"/>
    <col min="13593" max="13593" width="4.140625" style="1" customWidth="1"/>
    <col min="13594" max="13594" width="5.5703125" style="1" customWidth="1"/>
    <col min="13595" max="13595" width="9.28515625" style="1" customWidth="1"/>
    <col min="13596" max="13597" width="7" style="1" customWidth="1"/>
    <col min="13598" max="13598" width="18.140625" style="1" customWidth="1"/>
    <col min="13599" max="13599" width="5" style="1" customWidth="1"/>
    <col min="13600" max="13600" width="4.42578125" style="1" customWidth="1"/>
    <col min="13601" max="13602" width="5.28515625" style="1" customWidth="1"/>
    <col min="13603" max="13603" width="4.85546875" style="1" customWidth="1"/>
    <col min="13604" max="13604" width="5.42578125" style="1" customWidth="1"/>
    <col min="13605" max="13605" width="5.140625" style="1" customWidth="1"/>
    <col min="13606" max="13606" width="5" style="1" customWidth="1"/>
    <col min="13607" max="13607" width="5.7109375" style="1" customWidth="1"/>
    <col min="13608" max="13608" width="3.85546875" style="1" customWidth="1"/>
    <col min="13609" max="13609" width="5.28515625" style="1" customWidth="1"/>
    <col min="13610" max="13610" width="6.28515625" style="1" customWidth="1"/>
    <col min="13611" max="13611" width="4.5703125" style="1" customWidth="1"/>
    <col min="13612" max="13612" width="5" style="1" customWidth="1"/>
    <col min="13613" max="13613" width="5.85546875" style="1" customWidth="1"/>
    <col min="13614" max="13615" width="4.85546875" style="1" customWidth="1"/>
    <col min="13616" max="13616" width="5.140625" style="1" customWidth="1"/>
    <col min="13617" max="13617" width="8.7109375" style="1" customWidth="1"/>
    <col min="13618" max="13619" width="6.7109375" style="1" customWidth="1"/>
    <col min="13620" max="13620" width="5.7109375" style="1" customWidth="1"/>
    <col min="13621" max="13621" width="19" style="1" customWidth="1"/>
    <col min="13622" max="13628" width="5.7109375" style="1" customWidth="1"/>
    <col min="13629" max="13629" width="5" style="1" customWidth="1"/>
    <col min="13630" max="13636" width="5.7109375" style="1" customWidth="1"/>
    <col min="13637" max="13637" width="7.140625" style="1" customWidth="1"/>
    <col min="13638" max="13638" width="7.28515625" style="1" customWidth="1"/>
    <col min="13639" max="13647" width="5.7109375" style="1" customWidth="1"/>
    <col min="13648" max="13648" width="5.140625" style="1" customWidth="1"/>
    <col min="13649" max="13651" width="5.7109375" style="1" customWidth="1"/>
    <col min="13652" max="13652" width="7.7109375" style="1" customWidth="1"/>
    <col min="13653" max="13653" width="7" style="1" customWidth="1"/>
    <col min="13654" max="13654" width="6.85546875" style="1" customWidth="1"/>
    <col min="13655" max="13655" width="18.7109375" style="1" customWidth="1"/>
    <col min="13656" max="13826" width="8.42578125" style="1"/>
    <col min="13827" max="13827" width="11.5703125" style="1" customWidth="1"/>
    <col min="13828" max="13828" width="19.5703125" style="1" customWidth="1"/>
    <col min="13829" max="13829" width="10.7109375" style="1" customWidth="1"/>
    <col min="13830" max="13830" width="9.7109375" style="1" customWidth="1"/>
    <col min="13831" max="13835" width="8.140625" style="1" customWidth="1"/>
    <col min="13836" max="13836" width="10" style="1" customWidth="1"/>
    <col min="13837" max="13837" width="8.140625" style="1" customWidth="1"/>
    <col min="13838" max="13838" width="18.5703125" style="1" customWidth="1"/>
    <col min="13839" max="13839" width="6.140625" style="1" customWidth="1"/>
    <col min="13840" max="13840" width="4.140625" style="1" customWidth="1"/>
    <col min="13841" max="13841" width="5.5703125" style="1" customWidth="1"/>
    <col min="13842" max="13842" width="5.85546875" style="1" customWidth="1"/>
    <col min="13843" max="13843" width="4.42578125" style="1" customWidth="1"/>
    <col min="13844" max="13844" width="5.140625" style="1" customWidth="1"/>
    <col min="13845" max="13845" width="5.42578125" style="1" customWidth="1"/>
    <col min="13846" max="13846" width="4.85546875" style="1" customWidth="1"/>
    <col min="13847" max="13847" width="5.140625" style="1" customWidth="1"/>
    <col min="13848" max="13848" width="5.42578125" style="1" customWidth="1"/>
    <col min="13849" max="13849" width="4.140625" style="1" customWidth="1"/>
    <col min="13850" max="13850" width="5.5703125" style="1" customWidth="1"/>
    <col min="13851" max="13851" width="9.28515625" style="1" customWidth="1"/>
    <col min="13852" max="13853" width="7" style="1" customWidth="1"/>
    <col min="13854" max="13854" width="18.140625" style="1" customWidth="1"/>
    <col min="13855" max="13855" width="5" style="1" customWidth="1"/>
    <col min="13856" max="13856" width="4.42578125" style="1" customWidth="1"/>
    <col min="13857" max="13858" width="5.28515625" style="1" customWidth="1"/>
    <col min="13859" max="13859" width="4.85546875" style="1" customWidth="1"/>
    <col min="13860" max="13860" width="5.42578125" style="1" customWidth="1"/>
    <col min="13861" max="13861" width="5.140625" style="1" customWidth="1"/>
    <col min="13862" max="13862" width="5" style="1" customWidth="1"/>
    <col min="13863" max="13863" width="5.7109375" style="1" customWidth="1"/>
    <col min="13864" max="13864" width="3.85546875" style="1" customWidth="1"/>
    <col min="13865" max="13865" width="5.28515625" style="1" customWidth="1"/>
    <col min="13866" max="13866" width="6.28515625" style="1" customWidth="1"/>
    <col min="13867" max="13867" width="4.5703125" style="1" customWidth="1"/>
    <col min="13868" max="13868" width="5" style="1" customWidth="1"/>
    <col min="13869" max="13869" width="5.85546875" style="1" customWidth="1"/>
    <col min="13870" max="13871" width="4.85546875" style="1" customWidth="1"/>
    <col min="13872" max="13872" width="5.140625" style="1" customWidth="1"/>
    <col min="13873" max="13873" width="8.7109375" style="1" customWidth="1"/>
    <col min="13874" max="13875" width="6.7109375" style="1" customWidth="1"/>
    <col min="13876" max="13876" width="5.7109375" style="1" customWidth="1"/>
    <col min="13877" max="13877" width="19" style="1" customWidth="1"/>
    <col min="13878" max="13884" width="5.7109375" style="1" customWidth="1"/>
    <col min="13885" max="13885" width="5" style="1" customWidth="1"/>
    <col min="13886" max="13892" width="5.7109375" style="1" customWidth="1"/>
    <col min="13893" max="13893" width="7.140625" style="1" customWidth="1"/>
    <col min="13894" max="13894" width="7.28515625" style="1" customWidth="1"/>
    <col min="13895" max="13903" width="5.7109375" style="1" customWidth="1"/>
    <col min="13904" max="13904" width="5.140625" style="1" customWidth="1"/>
    <col min="13905" max="13907" width="5.7109375" style="1" customWidth="1"/>
    <col min="13908" max="13908" width="7.7109375" style="1" customWidth="1"/>
    <col min="13909" max="13909" width="7" style="1" customWidth="1"/>
    <col min="13910" max="13910" width="6.85546875" style="1" customWidth="1"/>
    <col min="13911" max="13911" width="18.7109375" style="1" customWidth="1"/>
    <col min="13912" max="14082" width="8.42578125" style="1"/>
    <col min="14083" max="14083" width="11.5703125" style="1" customWidth="1"/>
    <col min="14084" max="14084" width="19.5703125" style="1" customWidth="1"/>
    <col min="14085" max="14085" width="10.7109375" style="1" customWidth="1"/>
    <col min="14086" max="14086" width="9.7109375" style="1" customWidth="1"/>
    <col min="14087" max="14091" width="8.140625" style="1" customWidth="1"/>
    <col min="14092" max="14092" width="10" style="1" customWidth="1"/>
    <col min="14093" max="14093" width="8.140625" style="1" customWidth="1"/>
    <col min="14094" max="14094" width="18.5703125" style="1" customWidth="1"/>
    <col min="14095" max="14095" width="6.140625" style="1" customWidth="1"/>
    <col min="14096" max="14096" width="4.140625" style="1" customWidth="1"/>
    <col min="14097" max="14097" width="5.5703125" style="1" customWidth="1"/>
    <col min="14098" max="14098" width="5.85546875" style="1" customWidth="1"/>
    <col min="14099" max="14099" width="4.42578125" style="1" customWidth="1"/>
    <col min="14100" max="14100" width="5.140625" style="1" customWidth="1"/>
    <col min="14101" max="14101" width="5.42578125" style="1" customWidth="1"/>
    <col min="14102" max="14102" width="4.85546875" style="1" customWidth="1"/>
    <col min="14103" max="14103" width="5.140625" style="1" customWidth="1"/>
    <col min="14104" max="14104" width="5.42578125" style="1" customWidth="1"/>
    <col min="14105" max="14105" width="4.140625" style="1" customWidth="1"/>
    <col min="14106" max="14106" width="5.5703125" style="1" customWidth="1"/>
    <col min="14107" max="14107" width="9.28515625" style="1" customWidth="1"/>
    <col min="14108" max="14109" width="7" style="1" customWidth="1"/>
    <col min="14110" max="14110" width="18.140625" style="1" customWidth="1"/>
    <col min="14111" max="14111" width="5" style="1" customWidth="1"/>
    <col min="14112" max="14112" width="4.42578125" style="1" customWidth="1"/>
    <col min="14113" max="14114" width="5.28515625" style="1" customWidth="1"/>
    <col min="14115" max="14115" width="4.85546875" style="1" customWidth="1"/>
    <col min="14116" max="14116" width="5.42578125" style="1" customWidth="1"/>
    <col min="14117" max="14117" width="5.140625" style="1" customWidth="1"/>
    <col min="14118" max="14118" width="5" style="1" customWidth="1"/>
    <col min="14119" max="14119" width="5.7109375" style="1" customWidth="1"/>
    <col min="14120" max="14120" width="3.85546875" style="1" customWidth="1"/>
    <col min="14121" max="14121" width="5.28515625" style="1" customWidth="1"/>
    <col min="14122" max="14122" width="6.28515625" style="1" customWidth="1"/>
    <col min="14123" max="14123" width="4.5703125" style="1" customWidth="1"/>
    <col min="14124" max="14124" width="5" style="1" customWidth="1"/>
    <col min="14125" max="14125" width="5.85546875" style="1" customWidth="1"/>
    <col min="14126" max="14127" width="4.85546875" style="1" customWidth="1"/>
    <col min="14128" max="14128" width="5.140625" style="1" customWidth="1"/>
    <col min="14129" max="14129" width="8.7109375" style="1" customWidth="1"/>
    <col min="14130" max="14131" width="6.7109375" style="1" customWidth="1"/>
    <col min="14132" max="14132" width="5.7109375" style="1" customWidth="1"/>
    <col min="14133" max="14133" width="19" style="1" customWidth="1"/>
    <col min="14134" max="14140" width="5.7109375" style="1" customWidth="1"/>
    <col min="14141" max="14141" width="5" style="1" customWidth="1"/>
    <col min="14142" max="14148" width="5.7109375" style="1" customWidth="1"/>
    <col min="14149" max="14149" width="7.140625" style="1" customWidth="1"/>
    <col min="14150" max="14150" width="7.28515625" style="1" customWidth="1"/>
    <col min="14151" max="14159" width="5.7109375" style="1" customWidth="1"/>
    <col min="14160" max="14160" width="5.140625" style="1" customWidth="1"/>
    <col min="14161" max="14163" width="5.7109375" style="1" customWidth="1"/>
    <col min="14164" max="14164" width="7.7109375" style="1" customWidth="1"/>
    <col min="14165" max="14165" width="7" style="1" customWidth="1"/>
    <col min="14166" max="14166" width="6.85546875" style="1" customWidth="1"/>
    <col min="14167" max="14167" width="18.7109375" style="1" customWidth="1"/>
    <col min="14168" max="14338" width="8.42578125" style="1"/>
    <col min="14339" max="14339" width="11.5703125" style="1" customWidth="1"/>
    <col min="14340" max="14340" width="19.5703125" style="1" customWidth="1"/>
    <col min="14341" max="14341" width="10.7109375" style="1" customWidth="1"/>
    <col min="14342" max="14342" width="9.7109375" style="1" customWidth="1"/>
    <col min="14343" max="14347" width="8.140625" style="1" customWidth="1"/>
    <col min="14348" max="14348" width="10" style="1" customWidth="1"/>
    <col min="14349" max="14349" width="8.140625" style="1" customWidth="1"/>
    <col min="14350" max="14350" width="18.5703125" style="1" customWidth="1"/>
    <col min="14351" max="14351" width="6.140625" style="1" customWidth="1"/>
    <col min="14352" max="14352" width="4.140625" style="1" customWidth="1"/>
    <col min="14353" max="14353" width="5.5703125" style="1" customWidth="1"/>
    <col min="14354" max="14354" width="5.85546875" style="1" customWidth="1"/>
    <col min="14355" max="14355" width="4.42578125" style="1" customWidth="1"/>
    <col min="14356" max="14356" width="5.140625" style="1" customWidth="1"/>
    <col min="14357" max="14357" width="5.42578125" style="1" customWidth="1"/>
    <col min="14358" max="14358" width="4.85546875" style="1" customWidth="1"/>
    <col min="14359" max="14359" width="5.140625" style="1" customWidth="1"/>
    <col min="14360" max="14360" width="5.42578125" style="1" customWidth="1"/>
    <col min="14361" max="14361" width="4.140625" style="1" customWidth="1"/>
    <col min="14362" max="14362" width="5.5703125" style="1" customWidth="1"/>
    <col min="14363" max="14363" width="9.28515625" style="1" customWidth="1"/>
    <col min="14364" max="14365" width="7" style="1" customWidth="1"/>
    <col min="14366" max="14366" width="18.140625" style="1" customWidth="1"/>
    <col min="14367" max="14367" width="5" style="1" customWidth="1"/>
    <col min="14368" max="14368" width="4.42578125" style="1" customWidth="1"/>
    <col min="14369" max="14370" width="5.28515625" style="1" customWidth="1"/>
    <col min="14371" max="14371" width="4.85546875" style="1" customWidth="1"/>
    <col min="14372" max="14372" width="5.42578125" style="1" customWidth="1"/>
    <col min="14373" max="14373" width="5.140625" style="1" customWidth="1"/>
    <col min="14374" max="14374" width="5" style="1" customWidth="1"/>
    <col min="14375" max="14375" width="5.7109375" style="1" customWidth="1"/>
    <col min="14376" max="14376" width="3.85546875" style="1" customWidth="1"/>
    <col min="14377" max="14377" width="5.28515625" style="1" customWidth="1"/>
    <col min="14378" max="14378" width="6.28515625" style="1" customWidth="1"/>
    <col min="14379" max="14379" width="4.5703125" style="1" customWidth="1"/>
    <col min="14380" max="14380" width="5" style="1" customWidth="1"/>
    <col min="14381" max="14381" width="5.85546875" style="1" customWidth="1"/>
    <col min="14382" max="14383" width="4.85546875" style="1" customWidth="1"/>
    <col min="14384" max="14384" width="5.140625" style="1" customWidth="1"/>
    <col min="14385" max="14385" width="8.7109375" style="1" customWidth="1"/>
    <col min="14386" max="14387" width="6.7109375" style="1" customWidth="1"/>
    <col min="14388" max="14388" width="5.7109375" style="1" customWidth="1"/>
    <col min="14389" max="14389" width="19" style="1" customWidth="1"/>
    <col min="14390" max="14396" width="5.7109375" style="1" customWidth="1"/>
    <col min="14397" max="14397" width="5" style="1" customWidth="1"/>
    <col min="14398" max="14404" width="5.7109375" style="1" customWidth="1"/>
    <col min="14405" max="14405" width="7.140625" style="1" customWidth="1"/>
    <col min="14406" max="14406" width="7.28515625" style="1" customWidth="1"/>
    <col min="14407" max="14415" width="5.7109375" style="1" customWidth="1"/>
    <col min="14416" max="14416" width="5.140625" style="1" customWidth="1"/>
    <col min="14417" max="14419" width="5.7109375" style="1" customWidth="1"/>
    <col min="14420" max="14420" width="7.7109375" style="1" customWidth="1"/>
    <col min="14421" max="14421" width="7" style="1" customWidth="1"/>
    <col min="14422" max="14422" width="6.85546875" style="1" customWidth="1"/>
    <col min="14423" max="14423" width="18.7109375" style="1" customWidth="1"/>
    <col min="14424" max="14594" width="8.42578125" style="1"/>
    <col min="14595" max="14595" width="11.5703125" style="1" customWidth="1"/>
    <col min="14596" max="14596" width="19.5703125" style="1" customWidth="1"/>
    <col min="14597" max="14597" width="10.7109375" style="1" customWidth="1"/>
    <col min="14598" max="14598" width="9.7109375" style="1" customWidth="1"/>
    <col min="14599" max="14603" width="8.140625" style="1" customWidth="1"/>
    <col min="14604" max="14604" width="10" style="1" customWidth="1"/>
    <col min="14605" max="14605" width="8.140625" style="1" customWidth="1"/>
    <col min="14606" max="14606" width="18.5703125" style="1" customWidth="1"/>
    <col min="14607" max="14607" width="6.140625" style="1" customWidth="1"/>
    <col min="14608" max="14608" width="4.140625" style="1" customWidth="1"/>
    <col min="14609" max="14609" width="5.5703125" style="1" customWidth="1"/>
    <col min="14610" max="14610" width="5.85546875" style="1" customWidth="1"/>
    <col min="14611" max="14611" width="4.42578125" style="1" customWidth="1"/>
    <col min="14612" max="14612" width="5.140625" style="1" customWidth="1"/>
    <col min="14613" max="14613" width="5.42578125" style="1" customWidth="1"/>
    <col min="14614" max="14614" width="4.85546875" style="1" customWidth="1"/>
    <col min="14615" max="14615" width="5.140625" style="1" customWidth="1"/>
    <col min="14616" max="14616" width="5.42578125" style="1" customWidth="1"/>
    <col min="14617" max="14617" width="4.140625" style="1" customWidth="1"/>
    <col min="14618" max="14618" width="5.5703125" style="1" customWidth="1"/>
    <col min="14619" max="14619" width="9.28515625" style="1" customWidth="1"/>
    <col min="14620" max="14621" width="7" style="1" customWidth="1"/>
    <col min="14622" max="14622" width="18.140625" style="1" customWidth="1"/>
    <col min="14623" max="14623" width="5" style="1" customWidth="1"/>
    <col min="14624" max="14624" width="4.42578125" style="1" customWidth="1"/>
    <col min="14625" max="14626" width="5.28515625" style="1" customWidth="1"/>
    <col min="14627" max="14627" width="4.85546875" style="1" customWidth="1"/>
    <col min="14628" max="14628" width="5.42578125" style="1" customWidth="1"/>
    <col min="14629" max="14629" width="5.140625" style="1" customWidth="1"/>
    <col min="14630" max="14630" width="5" style="1" customWidth="1"/>
    <col min="14631" max="14631" width="5.7109375" style="1" customWidth="1"/>
    <col min="14632" max="14632" width="3.85546875" style="1" customWidth="1"/>
    <col min="14633" max="14633" width="5.28515625" style="1" customWidth="1"/>
    <col min="14634" max="14634" width="6.28515625" style="1" customWidth="1"/>
    <col min="14635" max="14635" width="4.5703125" style="1" customWidth="1"/>
    <col min="14636" max="14636" width="5" style="1" customWidth="1"/>
    <col min="14637" max="14637" width="5.85546875" style="1" customWidth="1"/>
    <col min="14638" max="14639" width="4.85546875" style="1" customWidth="1"/>
    <col min="14640" max="14640" width="5.140625" style="1" customWidth="1"/>
    <col min="14641" max="14641" width="8.7109375" style="1" customWidth="1"/>
    <col min="14642" max="14643" width="6.7109375" style="1" customWidth="1"/>
    <col min="14644" max="14644" width="5.7109375" style="1" customWidth="1"/>
    <col min="14645" max="14645" width="19" style="1" customWidth="1"/>
    <col min="14646" max="14652" width="5.7109375" style="1" customWidth="1"/>
    <col min="14653" max="14653" width="5" style="1" customWidth="1"/>
    <col min="14654" max="14660" width="5.7109375" style="1" customWidth="1"/>
    <col min="14661" max="14661" width="7.140625" style="1" customWidth="1"/>
    <col min="14662" max="14662" width="7.28515625" style="1" customWidth="1"/>
    <col min="14663" max="14671" width="5.7109375" style="1" customWidth="1"/>
    <col min="14672" max="14672" width="5.140625" style="1" customWidth="1"/>
    <col min="14673" max="14675" width="5.7109375" style="1" customWidth="1"/>
    <col min="14676" max="14676" width="7.7109375" style="1" customWidth="1"/>
    <col min="14677" max="14677" width="7" style="1" customWidth="1"/>
    <col min="14678" max="14678" width="6.85546875" style="1" customWidth="1"/>
    <col min="14679" max="14679" width="18.7109375" style="1" customWidth="1"/>
    <col min="14680" max="14850" width="8.42578125" style="1"/>
    <col min="14851" max="14851" width="11.5703125" style="1" customWidth="1"/>
    <col min="14852" max="14852" width="19.5703125" style="1" customWidth="1"/>
    <col min="14853" max="14853" width="10.7109375" style="1" customWidth="1"/>
    <col min="14854" max="14854" width="9.7109375" style="1" customWidth="1"/>
    <col min="14855" max="14859" width="8.140625" style="1" customWidth="1"/>
    <col min="14860" max="14860" width="10" style="1" customWidth="1"/>
    <col min="14861" max="14861" width="8.140625" style="1" customWidth="1"/>
    <col min="14862" max="14862" width="18.5703125" style="1" customWidth="1"/>
    <col min="14863" max="14863" width="6.140625" style="1" customWidth="1"/>
    <col min="14864" max="14864" width="4.140625" style="1" customWidth="1"/>
    <col min="14865" max="14865" width="5.5703125" style="1" customWidth="1"/>
    <col min="14866" max="14866" width="5.85546875" style="1" customWidth="1"/>
    <col min="14867" max="14867" width="4.42578125" style="1" customWidth="1"/>
    <col min="14868" max="14868" width="5.140625" style="1" customWidth="1"/>
    <col min="14869" max="14869" width="5.42578125" style="1" customWidth="1"/>
    <col min="14870" max="14870" width="4.85546875" style="1" customWidth="1"/>
    <col min="14871" max="14871" width="5.140625" style="1" customWidth="1"/>
    <col min="14872" max="14872" width="5.42578125" style="1" customWidth="1"/>
    <col min="14873" max="14873" width="4.140625" style="1" customWidth="1"/>
    <col min="14874" max="14874" width="5.5703125" style="1" customWidth="1"/>
    <col min="14875" max="14875" width="9.28515625" style="1" customWidth="1"/>
    <col min="14876" max="14877" width="7" style="1" customWidth="1"/>
    <col min="14878" max="14878" width="18.140625" style="1" customWidth="1"/>
    <col min="14879" max="14879" width="5" style="1" customWidth="1"/>
    <col min="14880" max="14880" width="4.42578125" style="1" customWidth="1"/>
    <col min="14881" max="14882" width="5.28515625" style="1" customWidth="1"/>
    <col min="14883" max="14883" width="4.85546875" style="1" customWidth="1"/>
    <col min="14884" max="14884" width="5.42578125" style="1" customWidth="1"/>
    <col min="14885" max="14885" width="5.140625" style="1" customWidth="1"/>
    <col min="14886" max="14886" width="5" style="1" customWidth="1"/>
    <col min="14887" max="14887" width="5.7109375" style="1" customWidth="1"/>
    <col min="14888" max="14888" width="3.85546875" style="1" customWidth="1"/>
    <col min="14889" max="14889" width="5.28515625" style="1" customWidth="1"/>
    <col min="14890" max="14890" width="6.28515625" style="1" customWidth="1"/>
    <col min="14891" max="14891" width="4.5703125" style="1" customWidth="1"/>
    <col min="14892" max="14892" width="5" style="1" customWidth="1"/>
    <col min="14893" max="14893" width="5.85546875" style="1" customWidth="1"/>
    <col min="14894" max="14895" width="4.85546875" style="1" customWidth="1"/>
    <col min="14896" max="14896" width="5.140625" style="1" customWidth="1"/>
    <col min="14897" max="14897" width="8.7109375" style="1" customWidth="1"/>
    <col min="14898" max="14899" width="6.7109375" style="1" customWidth="1"/>
    <col min="14900" max="14900" width="5.7109375" style="1" customWidth="1"/>
    <col min="14901" max="14901" width="19" style="1" customWidth="1"/>
    <col min="14902" max="14908" width="5.7109375" style="1" customWidth="1"/>
    <col min="14909" max="14909" width="5" style="1" customWidth="1"/>
    <col min="14910" max="14916" width="5.7109375" style="1" customWidth="1"/>
    <col min="14917" max="14917" width="7.140625" style="1" customWidth="1"/>
    <col min="14918" max="14918" width="7.28515625" style="1" customWidth="1"/>
    <col min="14919" max="14927" width="5.7109375" style="1" customWidth="1"/>
    <col min="14928" max="14928" width="5.140625" style="1" customWidth="1"/>
    <col min="14929" max="14931" width="5.7109375" style="1" customWidth="1"/>
    <col min="14932" max="14932" width="7.7109375" style="1" customWidth="1"/>
    <col min="14933" max="14933" width="7" style="1" customWidth="1"/>
    <col min="14934" max="14934" width="6.85546875" style="1" customWidth="1"/>
    <col min="14935" max="14935" width="18.7109375" style="1" customWidth="1"/>
    <col min="14936" max="15106" width="8.42578125" style="1"/>
    <col min="15107" max="15107" width="11.5703125" style="1" customWidth="1"/>
    <col min="15108" max="15108" width="19.5703125" style="1" customWidth="1"/>
    <col min="15109" max="15109" width="10.7109375" style="1" customWidth="1"/>
    <col min="15110" max="15110" width="9.7109375" style="1" customWidth="1"/>
    <col min="15111" max="15115" width="8.140625" style="1" customWidth="1"/>
    <col min="15116" max="15116" width="10" style="1" customWidth="1"/>
    <col min="15117" max="15117" width="8.140625" style="1" customWidth="1"/>
    <col min="15118" max="15118" width="18.5703125" style="1" customWidth="1"/>
    <col min="15119" max="15119" width="6.140625" style="1" customWidth="1"/>
    <col min="15120" max="15120" width="4.140625" style="1" customWidth="1"/>
    <col min="15121" max="15121" width="5.5703125" style="1" customWidth="1"/>
    <col min="15122" max="15122" width="5.85546875" style="1" customWidth="1"/>
    <col min="15123" max="15123" width="4.42578125" style="1" customWidth="1"/>
    <col min="15124" max="15124" width="5.140625" style="1" customWidth="1"/>
    <col min="15125" max="15125" width="5.42578125" style="1" customWidth="1"/>
    <col min="15126" max="15126" width="4.85546875" style="1" customWidth="1"/>
    <col min="15127" max="15127" width="5.140625" style="1" customWidth="1"/>
    <col min="15128" max="15128" width="5.42578125" style="1" customWidth="1"/>
    <col min="15129" max="15129" width="4.140625" style="1" customWidth="1"/>
    <col min="15130" max="15130" width="5.5703125" style="1" customWidth="1"/>
    <col min="15131" max="15131" width="9.28515625" style="1" customWidth="1"/>
    <col min="15132" max="15133" width="7" style="1" customWidth="1"/>
    <col min="15134" max="15134" width="18.140625" style="1" customWidth="1"/>
    <col min="15135" max="15135" width="5" style="1" customWidth="1"/>
    <col min="15136" max="15136" width="4.42578125" style="1" customWidth="1"/>
    <col min="15137" max="15138" width="5.28515625" style="1" customWidth="1"/>
    <col min="15139" max="15139" width="4.85546875" style="1" customWidth="1"/>
    <col min="15140" max="15140" width="5.42578125" style="1" customWidth="1"/>
    <col min="15141" max="15141" width="5.140625" style="1" customWidth="1"/>
    <col min="15142" max="15142" width="5" style="1" customWidth="1"/>
    <col min="15143" max="15143" width="5.7109375" style="1" customWidth="1"/>
    <col min="15144" max="15144" width="3.85546875" style="1" customWidth="1"/>
    <col min="15145" max="15145" width="5.28515625" style="1" customWidth="1"/>
    <col min="15146" max="15146" width="6.28515625" style="1" customWidth="1"/>
    <col min="15147" max="15147" width="4.5703125" style="1" customWidth="1"/>
    <col min="15148" max="15148" width="5" style="1" customWidth="1"/>
    <col min="15149" max="15149" width="5.85546875" style="1" customWidth="1"/>
    <col min="15150" max="15151" width="4.85546875" style="1" customWidth="1"/>
    <col min="15152" max="15152" width="5.140625" style="1" customWidth="1"/>
    <col min="15153" max="15153" width="8.7109375" style="1" customWidth="1"/>
    <col min="15154" max="15155" width="6.7109375" style="1" customWidth="1"/>
    <col min="15156" max="15156" width="5.7109375" style="1" customWidth="1"/>
    <col min="15157" max="15157" width="19" style="1" customWidth="1"/>
    <col min="15158" max="15164" width="5.7109375" style="1" customWidth="1"/>
    <col min="15165" max="15165" width="5" style="1" customWidth="1"/>
    <col min="15166" max="15172" width="5.7109375" style="1" customWidth="1"/>
    <col min="15173" max="15173" width="7.140625" style="1" customWidth="1"/>
    <col min="15174" max="15174" width="7.28515625" style="1" customWidth="1"/>
    <col min="15175" max="15183" width="5.7109375" style="1" customWidth="1"/>
    <col min="15184" max="15184" width="5.140625" style="1" customWidth="1"/>
    <col min="15185" max="15187" width="5.7109375" style="1" customWidth="1"/>
    <col min="15188" max="15188" width="7.7109375" style="1" customWidth="1"/>
    <col min="15189" max="15189" width="7" style="1" customWidth="1"/>
    <col min="15190" max="15190" width="6.85546875" style="1" customWidth="1"/>
    <col min="15191" max="15191" width="18.7109375" style="1" customWidth="1"/>
    <col min="15192" max="15362" width="8.42578125" style="1"/>
    <col min="15363" max="15363" width="11.5703125" style="1" customWidth="1"/>
    <col min="15364" max="15364" width="19.5703125" style="1" customWidth="1"/>
    <col min="15365" max="15365" width="10.7109375" style="1" customWidth="1"/>
    <col min="15366" max="15366" width="9.7109375" style="1" customWidth="1"/>
    <col min="15367" max="15371" width="8.140625" style="1" customWidth="1"/>
    <col min="15372" max="15372" width="10" style="1" customWidth="1"/>
    <col min="15373" max="15373" width="8.140625" style="1" customWidth="1"/>
    <col min="15374" max="15374" width="18.5703125" style="1" customWidth="1"/>
    <col min="15375" max="15375" width="6.140625" style="1" customWidth="1"/>
    <col min="15376" max="15376" width="4.140625" style="1" customWidth="1"/>
    <col min="15377" max="15377" width="5.5703125" style="1" customWidth="1"/>
    <col min="15378" max="15378" width="5.85546875" style="1" customWidth="1"/>
    <col min="15379" max="15379" width="4.42578125" style="1" customWidth="1"/>
    <col min="15380" max="15380" width="5.140625" style="1" customWidth="1"/>
    <col min="15381" max="15381" width="5.42578125" style="1" customWidth="1"/>
    <col min="15382" max="15382" width="4.85546875" style="1" customWidth="1"/>
    <col min="15383" max="15383" width="5.140625" style="1" customWidth="1"/>
    <col min="15384" max="15384" width="5.42578125" style="1" customWidth="1"/>
    <col min="15385" max="15385" width="4.140625" style="1" customWidth="1"/>
    <col min="15386" max="15386" width="5.5703125" style="1" customWidth="1"/>
    <col min="15387" max="15387" width="9.28515625" style="1" customWidth="1"/>
    <col min="15388" max="15389" width="7" style="1" customWidth="1"/>
    <col min="15390" max="15390" width="18.140625" style="1" customWidth="1"/>
    <col min="15391" max="15391" width="5" style="1" customWidth="1"/>
    <col min="15392" max="15392" width="4.42578125" style="1" customWidth="1"/>
    <col min="15393" max="15394" width="5.28515625" style="1" customWidth="1"/>
    <col min="15395" max="15395" width="4.85546875" style="1" customWidth="1"/>
    <col min="15396" max="15396" width="5.42578125" style="1" customWidth="1"/>
    <col min="15397" max="15397" width="5.140625" style="1" customWidth="1"/>
    <col min="15398" max="15398" width="5" style="1" customWidth="1"/>
    <col min="15399" max="15399" width="5.7109375" style="1" customWidth="1"/>
    <col min="15400" max="15400" width="3.85546875" style="1" customWidth="1"/>
    <col min="15401" max="15401" width="5.28515625" style="1" customWidth="1"/>
    <col min="15402" max="15402" width="6.28515625" style="1" customWidth="1"/>
    <col min="15403" max="15403" width="4.5703125" style="1" customWidth="1"/>
    <col min="15404" max="15404" width="5" style="1" customWidth="1"/>
    <col min="15405" max="15405" width="5.85546875" style="1" customWidth="1"/>
    <col min="15406" max="15407" width="4.85546875" style="1" customWidth="1"/>
    <col min="15408" max="15408" width="5.140625" style="1" customWidth="1"/>
    <col min="15409" max="15409" width="8.7109375" style="1" customWidth="1"/>
    <col min="15410" max="15411" width="6.7109375" style="1" customWidth="1"/>
    <col min="15412" max="15412" width="5.7109375" style="1" customWidth="1"/>
    <col min="15413" max="15413" width="19" style="1" customWidth="1"/>
    <col min="15414" max="15420" width="5.7109375" style="1" customWidth="1"/>
    <col min="15421" max="15421" width="5" style="1" customWidth="1"/>
    <col min="15422" max="15428" width="5.7109375" style="1" customWidth="1"/>
    <col min="15429" max="15429" width="7.140625" style="1" customWidth="1"/>
    <col min="15430" max="15430" width="7.28515625" style="1" customWidth="1"/>
    <col min="15431" max="15439" width="5.7109375" style="1" customWidth="1"/>
    <col min="15440" max="15440" width="5.140625" style="1" customWidth="1"/>
    <col min="15441" max="15443" width="5.7109375" style="1" customWidth="1"/>
    <col min="15444" max="15444" width="7.7109375" style="1" customWidth="1"/>
    <col min="15445" max="15445" width="7" style="1" customWidth="1"/>
    <col min="15446" max="15446" width="6.85546875" style="1" customWidth="1"/>
    <col min="15447" max="15447" width="18.7109375" style="1" customWidth="1"/>
    <col min="15448" max="15618" width="8.42578125" style="1"/>
    <col min="15619" max="15619" width="11.5703125" style="1" customWidth="1"/>
    <col min="15620" max="15620" width="19.5703125" style="1" customWidth="1"/>
    <col min="15621" max="15621" width="10.7109375" style="1" customWidth="1"/>
    <col min="15622" max="15622" width="9.7109375" style="1" customWidth="1"/>
    <col min="15623" max="15627" width="8.140625" style="1" customWidth="1"/>
    <col min="15628" max="15628" width="10" style="1" customWidth="1"/>
    <col min="15629" max="15629" width="8.140625" style="1" customWidth="1"/>
    <col min="15630" max="15630" width="18.5703125" style="1" customWidth="1"/>
    <col min="15631" max="15631" width="6.140625" style="1" customWidth="1"/>
    <col min="15632" max="15632" width="4.140625" style="1" customWidth="1"/>
    <col min="15633" max="15633" width="5.5703125" style="1" customWidth="1"/>
    <col min="15634" max="15634" width="5.85546875" style="1" customWidth="1"/>
    <col min="15635" max="15635" width="4.42578125" style="1" customWidth="1"/>
    <col min="15636" max="15636" width="5.140625" style="1" customWidth="1"/>
    <col min="15637" max="15637" width="5.42578125" style="1" customWidth="1"/>
    <col min="15638" max="15638" width="4.85546875" style="1" customWidth="1"/>
    <col min="15639" max="15639" width="5.140625" style="1" customWidth="1"/>
    <col min="15640" max="15640" width="5.42578125" style="1" customWidth="1"/>
    <col min="15641" max="15641" width="4.140625" style="1" customWidth="1"/>
    <col min="15642" max="15642" width="5.5703125" style="1" customWidth="1"/>
    <col min="15643" max="15643" width="9.28515625" style="1" customWidth="1"/>
    <col min="15644" max="15645" width="7" style="1" customWidth="1"/>
    <col min="15646" max="15646" width="18.140625" style="1" customWidth="1"/>
    <col min="15647" max="15647" width="5" style="1" customWidth="1"/>
    <col min="15648" max="15648" width="4.42578125" style="1" customWidth="1"/>
    <col min="15649" max="15650" width="5.28515625" style="1" customWidth="1"/>
    <col min="15651" max="15651" width="4.85546875" style="1" customWidth="1"/>
    <col min="15652" max="15652" width="5.42578125" style="1" customWidth="1"/>
    <col min="15653" max="15653" width="5.140625" style="1" customWidth="1"/>
    <col min="15654" max="15654" width="5" style="1" customWidth="1"/>
    <col min="15655" max="15655" width="5.7109375" style="1" customWidth="1"/>
    <col min="15656" max="15656" width="3.85546875" style="1" customWidth="1"/>
    <col min="15657" max="15657" width="5.28515625" style="1" customWidth="1"/>
    <col min="15658" max="15658" width="6.28515625" style="1" customWidth="1"/>
    <col min="15659" max="15659" width="4.5703125" style="1" customWidth="1"/>
    <col min="15660" max="15660" width="5" style="1" customWidth="1"/>
    <col min="15661" max="15661" width="5.85546875" style="1" customWidth="1"/>
    <col min="15662" max="15663" width="4.85546875" style="1" customWidth="1"/>
    <col min="15664" max="15664" width="5.140625" style="1" customWidth="1"/>
    <col min="15665" max="15665" width="8.7109375" style="1" customWidth="1"/>
    <col min="15666" max="15667" width="6.7109375" style="1" customWidth="1"/>
    <col min="15668" max="15668" width="5.7109375" style="1" customWidth="1"/>
    <col min="15669" max="15669" width="19" style="1" customWidth="1"/>
    <col min="15670" max="15676" width="5.7109375" style="1" customWidth="1"/>
    <col min="15677" max="15677" width="5" style="1" customWidth="1"/>
    <col min="15678" max="15684" width="5.7109375" style="1" customWidth="1"/>
    <col min="15685" max="15685" width="7.140625" style="1" customWidth="1"/>
    <col min="15686" max="15686" width="7.28515625" style="1" customWidth="1"/>
    <col min="15687" max="15695" width="5.7109375" style="1" customWidth="1"/>
    <col min="15696" max="15696" width="5.140625" style="1" customWidth="1"/>
    <col min="15697" max="15699" width="5.7109375" style="1" customWidth="1"/>
    <col min="15700" max="15700" width="7.7109375" style="1" customWidth="1"/>
    <col min="15701" max="15701" width="7" style="1" customWidth="1"/>
    <col min="15702" max="15702" width="6.85546875" style="1" customWidth="1"/>
    <col min="15703" max="15703" width="18.7109375" style="1" customWidth="1"/>
    <col min="15704" max="15874" width="8.42578125" style="1"/>
    <col min="15875" max="15875" width="11.5703125" style="1" customWidth="1"/>
    <col min="15876" max="15876" width="19.5703125" style="1" customWidth="1"/>
    <col min="15877" max="15877" width="10.7109375" style="1" customWidth="1"/>
    <col min="15878" max="15878" width="9.7109375" style="1" customWidth="1"/>
    <col min="15879" max="15883" width="8.140625" style="1" customWidth="1"/>
    <col min="15884" max="15884" width="10" style="1" customWidth="1"/>
    <col min="15885" max="15885" width="8.140625" style="1" customWidth="1"/>
    <col min="15886" max="15886" width="18.5703125" style="1" customWidth="1"/>
    <col min="15887" max="15887" width="6.140625" style="1" customWidth="1"/>
    <col min="15888" max="15888" width="4.140625" style="1" customWidth="1"/>
    <col min="15889" max="15889" width="5.5703125" style="1" customWidth="1"/>
    <col min="15890" max="15890" width="5.85546875" style="1" customWidth="1"/>
    <col min="15891" max="15891" width="4.42578125" style="1" customWidth="1"/>
    <col min="15892" max="15892" width="5.140625" style="1" customWidth="1"/>
    <col min="15893" max="15893" width="5.42578125" style="1" customWidth="1"/>
    <col min="15894" max="15894" width="4.85546875" style="1" customWidth="1"/>
    <col min="15895" max="15895" width="5.140625" style="1" customWidth="1"/>
    <col min="15896" max="15896" width="5.42578125" style="1" customWidth="1"/>
    <col min="15897" max="15897" width="4.140625" style="1" customWidth="1"/>
    <col min="15898" max="15898" width="5.5703125" style="1" customWidth="1"/>
    <col min="15899" max="15899" width="9.28515625" style="1" customWidth="1"/>
    <col min="15900" max="15901" width="7" style="1" customWidth="1"/>
    <col min="15902" max="15902" width="18.140625" style="1" customWidth="1"/>
    <col min="15903" max="15903" width="5" style="1" customWidth="1"/>
    <col min="15904" max="15904" width="4.42578125" style="1" customWidth="1"/>
    <col min="15905" max="15906" width="5.28515625" style="1" customWidth="1"/>
    <col min="15907" max="15907" width="4.85546875" style="1" customWidth="1"/>
    <col min="15908" max="15908" width="5.42578125" style="1" customWidth="1"/>
    <col min="15909" max="15909" width="5.140625" style="1" customWidth="1"/>
    <col min="15910" max="15910" width="5" style="1" customWidth="1"/>
    <col min="15911" max="15911" width="5.7109375" style="1" customWidth="1"/>
    <col min="15912" max="15912" width="3.85546875" style="1" customWidth="1"/>
    <col min="15913" max="15913" width="5.28515625" style="1" customWidth="1"/>
    <col min="15914" max="15914" width="6.28515625" style="1" customWidth="1"/>
    <col min="15915" max="15915" width="4.5703125" style="1" customWidth="1"/>
    <col min="15916" max="15916" width="5" style="1" customWidth="1"/>
    <col min="15917" max="15917" width="5.85546875" style="1" customWidth="1"/>
    <col min="15918" max="15919" width="4.85546875" style="1" customWidth="1"/>
    <col min="15920" max="15920" width="5.140625" style="1" customWidth="1"/>
    <col min="15921" max="15921" width="8.7109375" style="1" customWidth="1"/>
    <col min="15922" max="15923" width="6.7109375" style="1" customWidth="1"/>
    <col min="15924" max="15924" width="5.7109375" style="1" customWidth="1"/>
    <col min="15925" max="15925" width="19" style="1" customWidth="1"/>
    <col min="15926" max="15932" width="5.7109375" style="1" customWidth="1"/>
    <col min="15933" max="15933" width="5" style="1" customWidth="1"/>
    <col min="15934" max="15940" width="5.7109375" style="1" customWidth="1"/>
    <col min="15941" max="15941" width="7.140625" style="1" customWidth="1"/>
    <col min="15942" max="15942" width="7.28515625" style="1" customWidth="1"/>
    <col min="15943" max="15951" width="5.7109375" style="1" customWidth="1"/>
    <col min="15952" max="15952" width="5.140625" style="1" customWidth="1"/>
    <col min="15953" max="15955" width="5.7109375" style="1" customWidth="1"/>
    <col min="15956" max="15956" width="7.7109375" style="1" customWidth="1"/>
    <col min="15957" max="15957" width="7" style="1" customWidth="1"/>
    <col min="15958" max="15958" width="6.85546875" style="1" customWidth="1"/>
    <col min="15959" max="15959" width="18.7109375" style="1" customWidth="1"/>
    <col min="15960" max="16130" width="8.42578125" style="1"/>
    <col min="16131" max="16131" width="11.5703125" style="1" customWidth="1"/>
    <col min="16132" max="16132" width="19.5703125" style="1" customWidth="1"/>
    <col min="16133" max="16133" width="10.7109375" style="1" customWidth="1"/>
    <col min="16134" max="16134" width="9.7109375" style="1" customWidth="1"/>
    <col min="16135" max="16139" width="8.140625" style="1" customWidth="1"/>
    <col min="16140" max="16140" width="10" style="1" customWidth="1"/>
    <col min="16141" max="16141" width="8.140625" style="1" customWidth="1"/>
    <col min="16142" max="16142" width="18.5703125" style="1" customWidth="1"/>
    <col min="16143" max="16143" width="6.140625" style="1" customWidth="1"/>
    <col min="16144" max="16144" width="4.140625" style="1" customWidth="1"/>
    <col min="16145" max="16145" width="5.5703125" style="1" customWidth="1"/>
    <col min="16146" max="16146" width="5.85546875" style="1" customWidth="1"/>
    <col min="16147" max="16147" width="4.42578125" style="1" customWidth="1"/>
    <col min="16148" max="16148" width="5.140625" style="1" customWidth="1"/>
    <col min="16149" max="16149" width="5.42578125" style="1" customWidth="1"/>
    <col min="16150" max="16150" width="4.85546875" style="1" customWidth="1"/>
    <col min="16151" max="16151" width="5.140625" style="1" customWidth="1"/>
    <col min="16152" max="16152" width="5.42578125" style="1" customWidth="1"/>
    <col min="16153" max="16153" width="4.140625" style="1" customWidth="1"/>
    <col min="16154" max="16154" width="5.5703125" style="1" customWidth="1"/>
    <col min="16155" max="16155" width="9.28515625" style="1" customWidth="1"/>
    <col min="16156" max="16157" width="7" style="1" customWidth="1"/>
    <col min="16158" max="16158" width="18.140625" style="1" customWidth="1"/>
    <col min="16159" max="16159" width="5" style="1" customWidth="1"/>
    <col min="16160" max="16160" width="4.42578125" style="1" customWidth="1"/>
    <col min="16161" max="16162" width="5.28515625" style="1" customWidth="1"/>
    <col min="16163" max="16163" width="4.85546875" style="1" customWidth="1"/>
    <col min="16164" max="16164" width="5.42578125" style="1" customWidth="1"/>
    <col min="16165" max="16165" width="5.140625" style="1" customWidth="1"/>
    <col min="16166" max="16166" width="5" style="1" customWidth="1"/>
    <col min="16167" max="16167" width="5.7109375" style="1" customWidth="1"/>
    <col min="16168" max="16168" width="3.85546875" style="1" customWidth="1"/>
    <col min="16169" max="16169" width="5.28515625" style="1" customWidth="1"/>
    <col min="16170" max="16170" width="6.28515625" style="1" customWidth="1"/>
    <col min="16171" max="16171" width="4.5703125" style="1" customWidth="1"/>
    <col min="16172" max="16172" width="5" style="1" customWidth="1"/>
    <col min="16173" max="16173" width="5.85546875" style="1" customWidth="1"/>
    <col min="16174" max="16175" width="4.85546875" style="1" customWidth="1"/>
    <col min="16176" max="16176" width="5.140625" style="1" customWidth="1"/>
    <col min="16177" max="16177" width="8.7109375" style="1" customWidth="1"/>
    <col min="16178" max="16179" width="6.7109375" style="1" customWidth="1"/>
    <col min="16180" max="16180" width="5.7109375" style="1" customWidth="1"/>
    <col min="16181" max="16181" width="19" style="1" customWidth="1"/>
    <col min="16182" max="16188" width="5.7109375" style="1" customWidth="1"/>
    <col min="16189" max="16189" width="5" style="1" customWidth="1"/>
    <col min="16190" max="16196" width="5.7109375" style="1" customWidth="1"/>
    <col min="16197" max="16197" width="7.140625" style="1" customWidth="1"/>
    <col min="16198" max="16198" width="7.28515625" style="1" customWidth="1"/>
    <col min="16199" max="16207" width="5.7109375" style="1" customWidth="1"/>
    <col min="16208" max="16208" width="5.140625" style="1" customWidth="1"/>
    <col min="16209" max="16211" width="5.7109375" style="1" customWidth="1"/>
    <col min="16212" max="16212" width="7.7109375" style="1" customWidth="1"/>
    <col min="16213" max="16213" width="7" style="1" customWidth="1"/>
    <col min="16214" max="16214" width="6.85546875" style="1" customWidth="1"/>
    <col min="16215" max="16215" width="18.7109375" style="1" customWidth="1"/>
    <col min="16216" max="16384" width="8.42578125" style="1"/>
  </cols>
  <sheetData>
    <row r="1" spans="1:87">
      <c r="A1" s="370" t="s">
        <v>73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64" t="s">
        <v>74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 t="s">
        <v>372</v>
      </c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364"/>
      <c r="AO1" s="364"/>
      <c r="AP1" s="364"/>
      <c r="AQ1" s="364"/>
      <c r="AR1" s="364"/>
      <c r="AS1" s="364"/>
      <c r="AT1" s="364"/>
      <c r="AU1" s="364"/>
      <c r="AV1" s="364"/>
      <c r="AW1" s="364"/>
      <c r="AX1" s="364"/>
      <c r="AY1" s="230" t="s">
        <v>373</v>
      </c>
      <c r="AZ1" s="367" t="s">
        <v>71</v>
      </c>
      <c r="BA1" s="367"/>
      <c r="BB1" s="367"/>
      <c r="BC1" s="367"/>
      <c r="BD1" s="367"/>
      <c r="BE1" s="368"/>
      <c r="BF1" s="369" t="s">
        <v>70</v>
      </c>
      <c r="BG1" s="367"/>
      <c r="BH1" s="367"/>
      <c r="BI1" s="367"/>
      <c r="BJ1" s="367"/>
      <c r="BK1" s="367"/>
      <c r="BL1" s="367"/>
      <c r="BM1" s="367"/>
      <c r="BN1" s="368"/>
      <c r="BO1" s="80"/>
      <c r="BP1" s="80"/>
      <c r="BQ1" s="80"/>
      <c r="BR1" s="154"/>
      <c r="BS1" s="95" t="s">
        <v>69</v>
      </c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</row>
    <row r="2" spans="1:87">
      <c r="A2" s="3" t="s">
        <v>68</v>
      </c>
      <c r="B2" s="32" t="s">
        <v>34</v>
      </c>
      <c r="C2" s="89" t="s">
        <v>67</v>
      </c>
      <c r="D2" s="89" t="s">
        <v>66</v>
      </c>
      <c r="E2" s="89" t="s">
        <v>65</v>
      </c>
      <c r="F2" s="89" t="s">
        <v>64</v>
      </c>
      <c r="G2" s="89" t="s">
        <v>63</v>
      </c>
      <c r="H2" s="89" t="s">
        <v>62</v>
      </c>
      <c r="I2" s="89" t="s">
        <v>61</v>
      </c>
      <c r="J2" s="89" t="s">
        <v>60</v>
      </c>
      <c r="K2" s="89" t="s">
        <v>59</v>
      </c>
      <c r="L2" s="45" t="s">
        <v>34</v>
      </c>
      <c r="M2" s="88" t="s">
        <v>58</v>
      </c>
      <c r="N2" s="88"/>
      <c r="O2" s="88"/>
      <c r="P2" s="88" t="s">
        <v>57</v>
      </c>
      <c r="Q2" s="88"/>
      <c r="R2" s="88"/>
      <c r="S2" s="88" t="s">
        <v>56</v>
      </c>
      <c r="T2" s="88"/>
      <c r="U2" s="88"/>
      <c r="V2" s="88" t="s">
        <v>55</v>
      </c>
      <c r="W2" s="88"/>
      <c r="X2" s="88"/>
      <c r="Y2" s="45" t="s">
        <v>54</v>
      </c>
      <c r="Z2" s="87" t="s">
        <v>36</v>
      </c>
      <c r="AA2" s="32"/>
      <c r="AB2" s="32" t="s">
        <v>34</v>
      </c>
      <c r="AC2" s="86" t="s">
        <v>53</v>
      </c>
      <c r="AD2" s="85"/>
      <c r="AE2" s="84"/>
      <c r="AF2" s="83" t="s">
        <v>52</v>
      </c>
      <c r="AG2" s="82"/>
      <c r="AH2" s="82"/>
      <c r="AI2" s="82" t="s">
        <v>51</v>
      </c>
      <c r="AJ2" s="82"/>
      <c r="AK2" s="82"/>
      <c r="AL2" s="82" t="s">
        <v>50</v>
      </c>
      <c r="AM2" s="82"/>
      <c r="AN2" s="82"/>
      <c r="AO2" s="82" t="s">
        <v>49</v>
      </c>
      <c r="AP2" s="82"/>
      <c r="AQ2" s="82"/>
      <c r="AR2" s="82" t="s">
        <v>48</v>
      </c>
      <c r="AS2" s="82"/>
      <c r="AT2" s="82"/>
      <c r="AU2" s="32" t="s">
        <v>35</v>
      </c>
      <c r="AV2" s="32" t="s">
        <v>36</v>
      </c>
      <c r="AW2" s="32" t="s">
        <v>47</v>
      </c>
      <c r="AX2" s="81"/>
      <c r="AY2" s="81" t="s">
        <v>34</v>
      </c>
      <c r="AZ2" s="79" t="s">
        <v>46</v>
      </c>
      <c r="BA2" s="74"/>
      <c r="BB2" s="80"/>
      <c r="BC2" s="79" t="s">
        <v>45</v>
      </c>
      <c r="BD2" s="74"/>
      <c r="BE2" s="78"/>
      <c r="BF2" s="73" t="s">
        <v>44</v>
      </c>
      <c r="BG2" s="69"/>
      <c r="BH2" s="71"/>
      <c r="BI2" s="77" t="s">
        <v>43</v>
      </c>
      <c r="BJ2" s="76"/>
      <c r="BK2" s="75"/>
      <c r="BL2" s="73" t="s">
        <v>42</v>
      </c>
      <c r="BM2" s="69"/>
      <c r="BN2" s="69"/>
      <c r="BO2" s="68" t="s">
        <v>35</v>
      </c>
      <c r="BP2" s="68" t="s">
        <v>36</v>
      </c>
      <c r="BQ2" s="68" t="s">
        <v>41</v>
      </c>
      <c r="BR2" s="68"/>
      <c r="BS2" s="69" t="s">
        <v>40</v>
      </c>
      <c r="BT2" s="69"/>
      <c r="BU2" s="69"/>
      <c r="BV2" s="72" t="s">
        <v>39</v>
      </c>
      <c r="BW2" s="74"/>
      <c r="BX2" s="73"/>
      <c r="BY2" s="347" t="s">
        <v>38</v>
      </c>
      <c r="BZ2" s="347"/>
      <c r="CA2" s="348"/>
      <c r="CB2" s="69" t="s">
        <v>37</v>
      </c>
      <c r="CC2" s="69"/>
      <c r="CD2" s="69"/>
      <c r="CE2" s="68" t="s">
        <v>35</v>
      </c>
      <c r="CF2" s="68" t="s">
        <v>36</v>
      </c>
      <c r="CG2" s="68" t="s">
        <v>35</v>
      </c>
      <c r="CH2" s="68"/>
      <c r="CI2" s="68" t="s">
        <v>34</v>
      </c>
    </row>
    <row r="3" spans="1:87">
      <c r="A3" s="3"/>
      <c r="B3" s="32" t="s">
        <v>75</v>
      </c>
      <c r="C3" s="48">
        <v>36028</v>
      </c>
      <c r="D3" s="47" t="s">
        <v>19</v>
      </c>
      <c r="E3" s="32">
        <v>138</v>
      </c>
      <c r="F3" s="32">
        <v>34</v>
      </c>
      <c r="G3" s="32">
        <v>63</v>
      </c>
      <c r="H3" s="3">
        <v>1.139</v>
      </c>
      <c r="I3" s="44">
        <f>F3/(E3/100)^2</f>
        <v>17.85339214450746</v>
      </c>
      <c r="J3" s="43" t="s">
        <v>26</v>
      </c>
      <c r="K3" s="32">
        <f>((E3-F3)*E3)/(H3*2*G3)</f>
        <v>100.00418077678832</v>
      </c>
      <c r="L3" s="32" t="s">
        <v>75</v>
      </c>
      <c r="M3" s="32">
        <v>175</v>
      </c>
      <c r="N3" s="40">
        <v>20</v>
      </c>
      <c r="O3" s="30">
        <f>IF(M3=0,"",IF(M3&lt;150,2,IF(AND(M3&gt;=150,M3&lt;155),3,IF(AND(M3&gt;=155,M3&lt;160),4,IF(AND(M3&gt;=160),5)))))</f>
        <v>5</v>
      </c>
      <c r="P3" s="32">
        <v>5.3</v>
      </c>
      <c r="Q3" s="40">
        <v>16</v>
      </c>
      <c r="R3" s="30">
        <f>IF(P3=0,"",IF(P3&gt;6.2,2,IF(AND(P3&lt;=6.2,P3&gt;5.9),3,IF(AND(P3&lt;=5.9,P3&gt;5.6),4,IF(AND(P3&lt;=5.6),5)))))</f>
        <v>5</v>
      </c>
      <c r="S3" s="32">
        <v>11.200000000000001</v>
      </c>
      <c r="T3" s="40">
        <v>5</v>
      </c>
      <c r="U3" s="30">
        <f>IF(S3=0,"",IF(S3&gt;11.4,2,IF(AND(S3&lt;=11.4,S3&gt;11.2),3,IF(AND(S3&lt;=11.2,S3&gt;11),4,IF(AND(S3&lt;=11),5)))))</f>
        <v>4</v>
      </c>
      <c r="V3" s="32">
        <v>1350</v>
      </c>
      <c r="W3" s="40">
        <v>20</v>
      </c>
      <c r="X3" s="30">
        <f>IF(V3=0,"",IF(V3&lt;960,2,IF(AND(V3&gt;=960,V3&lt;1100),3,IF(AND(V3&gt;=1100,V3&lt;1230),4,IF(AND(V3&gt;=1230),5)))))</f>
        <v>5</v>
      </c>
      <c r="Y3" s="40">
        <f>SUM(N3,Q3,T3,W3)</f>
        <v>61</v>
      </c>
      <c r="Z3" s="30">
        <f>IF(Y3=0,"",IF(Y3&lt;4,2,IF(AND(Y3&gt;=4,Y3&lt;16),3,IF(AND(Y3&gt;=16,Y3&lt;30),4,IF(AND(Y3&gt;=30),5)))))</f>
        <v>5</v>
      </c>
      <c r="AA3" s="41"/>
      <c r="AB3" s="32" t="s">
        <v>75</v>
      </c>
      <c r="AC3" s="45">
        <v>50</v>
      </c>
      <c r="AD3" s="66">
        <v>20</v>
      </c>
      <c r="AE3" s="30">
        <f>IF(AC3=0,"",IF(AC3&lt;26,2,IF(AND(AC3&gt;=26,AC3&lt;32),3,IF(AND(AC3&gt;=32,AC3&lt;38),4,IF(AND(AC3&gt;=38),5)))))</f>
        <v>5</v>
      </c>
      <c r="AF3" s="32">
        <v>10</v>
      </c>
      <c r="AG3" s="40">
        <v>14</v>
      </c>
      <c r="AH3" s="30">
        <f>IF(AF3=0,"",IF(AF3&lt;4,2,IF(AND(AF3&gt;=4,AF3&lt;6),3,IF(AND(AF3&gt;=6,AF3&lt;9),4,IF(AND(AF3&gt;=9),5)))))</f>
        <v>5</v>
      </c>
      <c r="AI3" s="32">
        <v>98</v>
      </c>
      <c r="AJ3" s="40">
        <v>19</v>
      </c>
      <c r="AK3" s="30">
        <f>IF(AI3=0,"",IF(AI3&lt;55,2,IF(AND(AI3&gt;=55,AI3&lt;60),3,IF(AND(AI3&gt;=60,AI3&lt;70),4,IF(AND(AI3&gt;=70),5)))))</f>
        <v>5</v>
      </c>
      <c r="AL3" s="32">
        <v>9</v>
      </c>
      <c r="AM3" s="40">
        <v>20</v>
      </c>
      <c r="AN3" s="30">
        <f>IF(AL3=0,"",IF(AL3&lt;3,2,IF(AND(AL3&gt;=3,AL3&lt;4),3,IF(AND(AL3&gt;=4,AL3&lt;6),4,IF(AND(AL3&gt;=6),5)))))</f>
        <v>5</v>
      </c>
      <c r="AO3" s="32">
        <v>15</v>
      </c>
      <c r="AP3" s="40">
        <v>15</v>
      </c>
      <c r="AQ3" s="30">
        <f>IF(AO3=0,"",IF(AO3&lt;1,2,IF(AND(AO3&gt;=1,AO3&lt;5),3,IF(AND(AO3&gt;=5,AO3&lt;10),4,IF(AND(AO3&gt;=10),5)))))</f>
        <v>5</v>
      </c>
      <c r="AR3" s="32">
        <v>10</v>
      </c>
      <c r="AS3" s="40">
        <v>10</v>
      </c>
      <c r="AT3" s="30">
        <f>IF(AR3=0,"",IF(AR3&lt;1,2,IF(AND(AR3&gt;=1,AR3&lt;5),3,IF(AND(AR3&gt;=5,AR3&lt;10),4,IF(AND(AR3&gt;=10),5)))))</f>
        <v>5</v>
      </c>
      <c r="AU3" s="40">
        <f>SUM(AD3,AG3,AJ3,AM3,AP3,AS3)</f>
        <v>98</v>
      </c>
      <c r="AV3" s="30">
        <f>IF(AU3=0,"",IF(AU3&lt;6,2,IF(AND(AU3&gt;=6,AU3&lt;20),3,IF(AND(AU3&gt;=20,AU3&lt;46),4,IF(AND(AU3&gt;=46),5)))))</f>
        <v>5</v>
      </c>
      <c r="AW3" s="40">
        <f>SUM(Y3,AU3)</f>
        <v>159</v>
      </c>
      <c r="AX3" s="223">
        <v>5</v>
      </c>
      <c r="AY3" s="32" t="s">
        <v>75</v>
      </c>
      <c r="AZ3" s="65">
        <v>6.48</v>
      </c>
      <c r="BA3" s="343">
        <v>15</v>
      </c>
      <c r="BB3" s="30">
        <v>5</v>
      </c>
      <c r="BC3" s="65">
        <v>14.26</v>
      </c>
      <c r="BD3" s="343">
        <v>15</v>
      </c>
      <c r="BE3" s="30">
        <v>5</v>
      </c>
      <c r="BF3" s="31">
        <v>17</v>
      </c>
      <c r="BG3" s="344">
        <v>17</v>
      </c>
      <c r="BH3" s="30">
        <f>IF(BF3=0,"",IF(BF3&lt;6,2,IF(AND(BF3&gt;=6,BF3&lt;8),3,IF(AND(BF3&gt;=8,BF3&lt;10),4,IF(AND(BF3&gt;=10),5)))))</f>
        <v>5</v>
      </c>
      <c r="BI3" s="65">
        <v>14.700000000000001</v>
      </c>
      <c r="BJ3" s="343">
        <v>6</v>
      </c>
      <c r="BK3" s="30">
        <f>IF(BI3=0,"",IF(BI3&gt;16.2,2,IF(AND(BI3&lt;=16.2,BI3&gt;15),3,IF(AND(BI3&lt;=15,BI3&gt;14),4,IF(AND(BI3&lt;=14),5)))))</f>
        <v>4</v>
      </c>
      <c r="BL3" s="31">
        <v>3</v>
      </c>
      <c r="BM3" s="344">
        <v>5</v>
      </c>
      <c r="BN3" s="30">
        <f>IF(BL3=0,"",IF(BL3&lt;2,2,IF(AND(BL3&gt;=2,BL3&lt;3),3,IF(AND(BL3&gt;=3,BL3&lt;4),4,IF(AND(BL3&gt;=4),5)))))</f>
        <v>4</v>
      </c>
      <c r="BO3" s="40">
        <f>SUM(BA3,BD3,BG3,BJ3,BM3)</f>
        <v>58</v>
      </c>
      <c r="BP3" s="30">
        <f t="shared" ref="BP3:BP22" si="0">IF(BO3=0,"",IF(BO3&lt;5,2,IF(AND(BO3&gt;=5,BO3&lt;17),3,IF(AND(BO3&gt;=17,BO3&lt;40),4,IF(AND(BO3&gt;=40),5)))))</f>
        <v>5</v>
      </c>
      <c r="BQ3" s="40">
        <f>SUM(AW3,BO3)</f>
        <v>217</v>
      </c>
      <c r="BR3" s="41"/>
      <c r="BS3" s="31">
        <v>9.6999999999999993</v>
      </c>
      <c r="BT3" s="344">
        <v>16</v>
      </c>
      <c r="BU3" s="30">
        <f>IF(BS3=0,"",IF(BS3&gt;11.2,2,IF(AND(BS3&lt;=11.2,BS3&gt;10.6),3,IF(AND(BS3&lt;=10.6,BS3&gt;10),4,IF(AND(BS3&lt;=10),5)))))</f>
        <v>5</v>
      </c>
      <c r="BV3" s="31">
        <v>7.47</v>
      </c>
      <c r="BW3" s="343">
        <v>12</v>
      </c>
      <c r="BX3" s="30">
        <f>IF(BV3=0,"",IF(BV3&gt;9.1,2,IF(AND(BV3&lt;=9.1,BV3&gt;8.4),3,IF(AND(BV3&lt;=8.4,BV3&gt;8),4,IF(AND(BV3&lt;=8),5)))))</f>
        <v>5</v>
      </c>
      <c r="BY3" s="31">
        <v>24</v>
      </c>
      <c r="BZ3" s="344">
        <v>4</v>
      </c>
      <c r="CA3" s="30">
        <f>IF(BY3=0,"",IF(BY3&lt;20,2,IF(AND(BY3&gt;=20,BY3&lt;25),3,IF(AND(BY3&gt;=25,BY3&lt;30),4,IF(AND(BY3&gt;=30),5)))))</f>
        <v>3</v>
      </c>
      <c r="CB3" s="31">
        <v>40</v>
      </c>
      <c r="CC3" s="344">
        <v>20</v>
      </c>
      <c r="CD3" s="30">
        <f>IF(CB3=0,"",IF(CB3&lt;1,2,IF(AND(CB3&gt;=1,CB3&lt;3),3,IF(AND(CB3&gt;=3,CB3&lt;5),4,IF(AND(CB3&gt;=5),5)))))</f>
        <v>5</v>
      </c>
      <c r="CE3" s="40">
        <f>SUM(BT3,BW3,BZ3,CC3)</f>
        <v>52</v>
      </c>
      <c r="CF3" s="30">
        <f>IF(CE3=0,"",IF(CE3&lt;4,2,IF(AND(CE3&gt;=4,CE3&lt;16),3,IF(AND(CE3&gt;=16,CE3&lt;30),4,IF(AND(CE3&gt;=30),5)))))</f>
        <v>5</v>
      </c>
      <c r="CG3" s="40">
        <f>SUM(BQ3,CE3)</f>
        <v>269</v>
      </c>
      <c r="CH3" s="41"/>
      <c r="CI3" s="32" t="s">
        <v>75</v>
      </c>
    </row>
    <row r="4" spans="1:87">
      <c r="A4" s="3"/>
      <c r="B4" s="32" t="s">
        <v>76</v>
      </c>
      <c r="C4" s="67">
        <v>35789</v>
      </c>
      <c r="D4" s="47" t="s">
        <v>77</v>
      </c>
      <c r="E4" s="32">
        <v>142</v>
      </c>
      <c r="F4" s="32">
        <v>33</v>
      </c>
      <c r="G4" s="32">
        <v>61</v>
      </c>
      <c r="H4" s="3">
        <v>1.139</v>
      </c>
      <c r="I4" s="44">
        <f>F4/(E4/100)^2</f>
        <v>16.365800436421345</v>
      </c>
      <c r="J4" s="43" t="s">
        <v>30</v>
      </c>
      <c r="K4" s="32">
        <f>((E4-F4)*E4)/(H4*2*G4)</f>
        <v>111.38617423969832</v>
      </c>
      <c r="L4" s="32" t="s">
        <v>76</v>
      </c>
      <c r="M4" s="32">
        <v>166</v>
      </c>
      <c r="N4" s="40">
        <v>15</v>
      </c>
      <c r="O4" s="30">
        <f>IF(M4=0,"",IF(M4&lt;150,2,IF(AND(M4&gt;=150,M4&lt;155),3,IF(AND(M4&gt;=155,M4&lt;160),4,IF(AND(M4&gt;=160),5)))))</f>
        <v>5</v>
      </c>
      <c r="P4" s="32">
        <v>5.2</v>
      </c>
      <c r="Q4" s="40">
        <v>16</v>
      </c>
      <c r="R4" s="30">
        <f>IF(P4=0,"",IF(P4&gt;6.2,2,IF(AND(P4&lt;=6.2,P4&gt;5.9),3,IF(AND(P4&lt;=5.9,P4&gt;5.6),4,IF(AND(P4&lt;=5.6),5)))))</f>
        <v>5</v>
      </c>
      <c r="S4" s="32">
        <v>10.4</v>
      </c>
      <c r="T4" s="40">
        <v>20</v>
      </c>
      <c r="U4" s="30">
        <f>IF(S4=0,"",IF(S4&gt;11.4,2,IF(AND(S4&lt;=11.4,S4&gt;11.2),3,IF(AND(S4&lt;=11.2,S4&gt;11),4,IF(AND(S4&lt;=11),5)))))</f>
        <v>5</v>
      </c>
      <c r="V4" s="32">
        <v>1500</v>
      </c>
      <c r="W4" s="40">
        <v>20</v>
      </c>
      <c r="X4" s="30">
        <f>IF(V4=0,"",IF(V4&lt;960,2,IF(AND(V4&gt;=960,V4&lt;1100),3,IF(AND(V4&gt;=1100,V4&lt;1230),4,IF(AND(V4&gt;=1230),5)))))</f>
        <v>5</v>
      </c>
      <c r="Y4" s="40">
        <f>SUM(N4,Q4,T4,W4)</f>
        <v>71</v>
      </c>
      <c r="Z4" s="30">
        <f>IF(Y4=0,"",IF(Y4&lt;4,2,IF(AND(Y4&gt;=4,Y4&lt;16),3,IF(AND(Y4&gt;=16,Y4&lt;30),4,IF(AND(Y4&gt;=30),5)))))</f>
        <v>5</v>
      </c>
      <c r="AA4" s="223">
        <v>5</v>
      </c>
      <c r="AB4" s="32" t="s">
        <v>76</v>
      </c>
      <c r="AC4" s="32">
        <v>49</v>
      </c>
      <c r="AD4" s="40">
        <v>20</v>
      </c>
      <c r="AE4" s="30">
        <f>IF(AC4=0,"",IF(AC4&lt;26,2,IF(AND(AC4&gt;=26,AC4&lt;32),3,IF(AND(AC4&gt;=32,AC4&lt;38),4,IF(AND(AC4&gt;=38),5)))))</f>
        <v>5</v>
      </c>
      <c r="AF4" s="32">
        <v>5</v>
      </c>
      <c r="AG4" s="40">
        <v>3</v>
      </c>
      <c r="AH4" s="30">
        <f>IF(AF4=0,"",IF(AF4&lt;4,2,IF(AND(AF4&gt;=4,AF4&lt;6),3,IF(AND(AF4&gt;=6,AF4&lt;9),4,IF(AND(AF4&gt;=9),5)))))</f>
        <v>3</v>
      </c>
      <c r="AI4" s="32">
        <v>94</v>
      </c>
      <c r="AJ4" s="40">
        <v>18</v>
      </c>
      <c r="AK4" s="30">
        <f>IF(AI4=0,"",IF(AI4&lt;55,2,IF(AND(AI4&gt;=55,AI4&lt;60),3,IF(AND(AI4&gt;=60,AI4&lt;70),4,IF(AND(AI4&gt;=70),5)))))</f>
        <v>5</v>
      </c>
      <c r="AL4" s="32">
        <v>5</v>
      </c>
      <c r="AM4" s="40">
        <v>8</v>
      </c>
      <c r="AN4" s="30">
        <f>IF(AL4=0,"",IF(AL4&lt;3,2,IF(AND(AL4&gt;=3,AL4&lt;4),3,IF(AND(AL4&gt;=4,AL4&lt;6),4,IF(AND(AL4&gt;=6),5)))))</f>
        <v>4</v>
      </c>
      <c r="AO4" s="32">
        <v>11</v>
      </c>
      <c r="AP4" s="40">
        <v>11</v>
      </c>
      <c r="AQ4" s="30">
        <f>IF(AO4=0,"",IF(AO4&lt;1,2,IF(AND(AO4&gt;=1,AO4&lt;5),3,IF(AND(AO4&gt;=5,AO4&lt;10),4,IF(AND(AO4&gt;=10),5)))))</f>
        <v>5</v>
      </c>
      <c r="AR4" s="32">
        <v>10</v>
      </c>
      <c r="AS4" s="40">
        <v>10</v>
      </c>
      <c r="AT4" s="30">
        <f>IF(AR4=0,"",IF(AR4&lt;1,2,IF(AND(AR4&gt;=1,AR4&lt;5),3,IF(AND(AR4&gt;=5,AR4&lt;10),4,IF(AND(AR4&gt;=10),5)))))</f>
        <v>5</v>
      </c>
      <c r="AU4" s="40">
        <f>SUM(AD4,AG4,AJ4,AM4,AP4,AS4)</f>
        <v>70</v>
      </c>
      <c r="AV4" s="30">
        <f>IF(AU4=0,"",IF(AU4&lt;6,2,IF(AND(AU4&gt;=6,AU4&lt;20),3,IF(AND(AU4&gt;=20,AU4&lt;46),4,IF(AND(AU4&gt;=46),5)))))</f>
        <v>5</v>
      </c>
      <c r="AW4" s="40">
        <f>SUM(Y4,AU4)</f>
        <v>141</v>
      </c>
      <c r="AX4" s="41"/>
      <c r="AY4" s="32" t="s">
        <v>76</v>
      </c>
      <c r="AZ4" s="31">
        <v>9.4600000000000009</v>
      </c>
      <c r="BA4" s="344">
        <v>5</v>
      </c>
      <c r="BB4" s="30">
        <v>4</v>
      </c>
      <c r="BC4" s="31">
        <v>20.239999999999998</v>
      </c>
      <c r="BD4" s="344">
        <v>5</v>
      </c>
      <c r="BE4" s="30">
        <v>4</v>
      </c>
      <c r="BF4" s="31">
        <v>19</v>
      </c>
      <c r="BG4" s="344">
        <v>19</v>
      </c>
      <c r="BH4" s="30">
        <f>IF(BF4=0,"",IF(BF4&lt;6,2,IF(AND(BF4&gt;=6,BF4&lt;8),3,IF(AND(BF4&gt;=8,BF4&lt;10),4,IF(AND(BF4&gt;=10),5)))))</f>
        <v>5</v>
      </c>
      <c r="BI4" s="31">
        <v>13.200000000000001</v>
      </c>
      <c r="BJ4" s="344">
        <v>14</v>
      </c>
      <c r="BK4" s="30">
        <f>IF(BI4=0,"",IF(BI4&gt;16.2,2,IF(AND(BI4&lt;=16.2,BI4&gt;15),3,IF(AND(BI4&lt;=15,BI4&gt;14),4,IF(AND(BI4&lt;=14),5)))))</f>
        <v>5</v>
      </c>
      <c r="BL4" s="31">
        <v>6</v>
      </c>
      <c r="BM4" s="344">
        <v>14</v>
      </c>
      <c r="BN4" s="30">
        <f>IF(BL4=0,"",IF(BL4&lt;2,2,IF(AND(BL4&gt;=2,BL4&lt;3),3,IF(AND(BL4&gt;=3,BL4&lt;4),4,IF(AND(BL4&gt;=4),5)))))</f>
        <v>5</v>
      </c>
      <c r="BO4" s="40">
        <f>SUM(BA4,BD4,BG4,BJ4,BM4)</f>
        <v>57</v>
      </c>
      <c r="BP4" s="30">
        <f t="shared" si="0"/>
        <v>5</v>
      </c>
      <c r="BQ4" s="40">
        <f>SUM(AW4,BO4)</f>
        <v>198</v>
      </c>
      <c r="BR4" s="41"/>
      <c r="BS4" s="31">
        <v>9.3000000000000007</v>
      </c>
      <c r="BT4" s="344">
        <v>20</v>
      </c>
      <c r="BU4" s="30">
        <f>IF(BS4=0,"",IF(BS4&gt;11.2,2,IF(AND(BS4&lt;=11.2,BS4&gt;10.6),3,IF(AND(BS4&lt;=10.6,BS4&gt;10),4,IF(AND(BS4&lt;=10),5)))))</f>
        <v>5</v>
      </c>
      <c r="BV4" s="31">
        <v>7.17</v>
      </c>
      <c r="BW4" s="344">
        <v>15</v>
      </c>
      <c r="BX4" s="30">
        <f>IF(BV4=0,"",IF(BV4&gt;9.1,2,IF(AND(BV4&lt;=9.1,BV4&gt;8.4),3,IF(AND(BV4&lt;=8.4,BV4&gt;8),4,IF(AND(BV4&lt;=8),5)))))</f>
        <v>5</v>
      </c>
      <c r="BY4" s="31">
        <v>30</v>
      </c>
      <c r="BZ4" s="344">
        <v>10</v>
      </c>
      <c r="CA4" s="30">
        <f>IF(BY4=0,"",IF(BY4&lt;20,2,IF(AND(BY4&gt;=20,BY4&lt;25),3,IF(AND(BY4&gt;=25,BY4&lt;30),4,IF(AND(BY4&gt;=30),5)))))</f>
        <v>5</v>
      </c>
      <c r="CB4" s="31">
        <v>20</v>
      </c>
      <c r="CC4" s="344">
        <v>20</v>
      </c>
      <c r="CD4" s="30">
        <f>IF(CB4=0,"",IF(CB4&lt;1,2,IF(AND(CB4&gt;=1,CB4&lt;3),3,IF(AND(CB4&gt;=3,CB4&lt;5),4,IF(AND(CB4&gt;=5),5)))))</f>
        <v>5</v>
      </c>
      <c r="CE4" s="40">
        <f>SUM(BT4,BW4,BZ4,CC4)</f>
        <v>65</v>
      </c>
      <c r="CF4" s="30">
        <f>IF(CE4=0,"",IF(CE4&lt;4,2,IF(AND(CE4&gt;=4,CE4&lt;16),3,IF(AND(CE4&gt;=16,CE4&lt;30),4,IF(AND(CE4&gt;=30),5)))))</f>
        <v>5</v>
      </c>
      <c r="CG4" s="40">
        <f>SUM(BQ4,CE4)</f>
        <v>263</v>
      </c>
      <c r="CH4" s="223">
        <v>5</v>
      </c>
      <c r="CI4" s="32" t="s">
        <v>76</v>
      </c>
    </row>
    <row r="5" spans="1:87">
      <c r="A5" s="3"/>
      <c r="B5" s="32" t="s">
        <v>78</v>
      </c>
      <c r="C5" s="48">
        <v>35713</v>
      </c>
      <c r="D5" s="47" t="s">
        <v>19</v>
      </c>
      <c r="E5" s="32">
        <v>141</v>
      </c>
      <c r="F5" s="32">
        <v>42</v>
      </c>
      <c r="G5" s="32">
        <v>68</v>
      </c>
      <c r="H5" s="3">
        <v>1.139</v>
      </c>
      <c r="I5" s="44">
        <f>F5/(E5/100)^2</f>
        <v>21.125697902519995</v>
      </c>
      <c r="J5" s="43" t="s">
        <v>21</v>
      </c>
      <c r="K5" s="32">
        <f>((E5-F5)*E5)/(H5*2*G5)</f>
        <v>90.11387698187265</v>
      </c>
      <c r="L5" s="32" t="s">
        <v>78</v>
      </c>
      <c r="M5" s="32">
        <v>132</v>
      </c>
      <c r="N5" s="40">
        <v>0</v>
      </c>
      <c r="O5" s="30">
        <f>IF(M5=0,"",IF(M5&lt;150,2,IF(AND(M5&gt;=150,M5&lt;155),3,IF(AND(M5&gt;=155,M5&lt;160),4,IF(AND(M5&gt;=160),5)))))</f>
        <v>2</v>
      </c>
      <c r="P5" s="32">
        <v>5.5</v>
      </c>
      <c r="Q5" s="40">
        <v>12</v>
      </c>
      <c r="R5" s="30">
        <f>IF(P5=0,"",IF(P5&gt;6.2,2,IF(AND(P5&lt;=6.2,P5&gt;5.9),3,IF(AND(P5&lt;=5.9,P5&gt;5.6),4,IF(AND(P5&lt;=5.6),5)))))</f>
        <v>5</v>
      </c>
      <c r="S5" s="32">
        <v>11.5</v>
      </c>
      <c r="T5" s="40">
        <v>0</v>
      </c>
      <c r="U5" s="30">
        <f>IF(S5=0,"",IF(S5&gt;11.4,2,IF(AND(S5&lt;=11.4,S5&gt;11.2),3,IF(AND(S5&lt;=11.2,S5&gt;11),4,IF(AND(S5&lt;=11),5)))))</f>
        <v>2</v>
      </c>
      <c r="V5" s="32">
        <v>1350</v>
      </c>
      <c r="W5" s="40">
        <v>20</v>
      </c>
      <c r="X5" s="30">
        <f>IF(V5=0,"",IF(V5&lt;960,2,IF(AND(V5&gt;=960,V5&lt;1100),3,IF(AND(V5&gt;=1100,V5&lt;1230),4,IF(AND(V5&gt;=1230),5)))))</f>
        <v>5</v>
      </c>
      <c r="Y5" s="40">
        <f>SUM(N5,Q5,T5,W5)</f>
        <v>32</v>
      </c>
      <c r="Z5" s="30">
        <f>IF(Y5=0,"",IF(Y5&lt;4,2,IF(AND(Y5&gt;=4,Y5&lt;16),3,IF(AND(Y5&gt;=16,Y5&lt;30),4,IF(AND(Y5&gt;=30),5)))))</f>
        <v>5</v>
      </c>
      <c r="AA5" s="41"/>
      <c r="AB5" s="32" t="s">
        <v>78</v>
      </c>
      <c r="AC5" s="32">
        <v>26</v>
      </c>
      <c r="AD5" s="40">
        <v>1</v>
      </c>
      <c r="AE5" s="30">
        <f>IF(AC5=0,"",IF(AC5&lt;26,2,IF(AND(AC5&gt;=26,AC5&lt;32),3,IF(AND(AC5&gt;=32,AC5&lt;38),4,IF(AND(AC5&gt;=38),5)))))</f>
        <v>3</v>
      </c>
      <c r="AF5" s="32">
        <v>16</v>
      </c>
      <c r="AG5" s="40">
        <v>20</v>
      </c>
      <c r="AH5" s="30">
        <f>IF(AF5=0,"",IF(AF5&lt;4,2,IF(AND(AF5&gt;=4,AF5&lt;6),3,IF(AND(AF5&gt;=6,AF5&lt;9),4,IF(AND(AF5&gt;=9),5)))))</f>
        <v>5</v>
      </c>
      <c r="AI5" s="32">
        <v>111</v>
      </c>
      <c r="AJ5" s="40">
        <v>20</v>
      </c>
      <c r="AK5" s="30">
        <f>IF(AI5=0,"",IF(AI5&lt;55,2,IF(AND(AI5&gt;=55,AI5&lt;60),3,IF(AND(AI5&gt;=60,AI5&lt;70),4,IF(AND(AI5&gt;=70),5)))))</f>
        <v>5</v>
      </c>
      <c r="AL5" s="32">
        <v>1</v>
      </c>
      <c r="AM5" s="40">
        <v>0</v>
      </c>
      <c r="AN5" s="30">
        <f>IF(AL5=0,"",IF(AL5&lt;3,2,IF(AND(AL5&gt;=3,AL5&lt;4),3,IF(AND(AL5&gt;=4,AL5&lt;6),4,IF(AND(AL5&gt;=6),5)))))</f>
        <v>2</v>
      </c>
      <c r="AO5" s="32">
        <v>9</v>
      </c>
      <c r="AP5" s="40">
        <v>9</v>
      </c>
      <c r="AQ5" s="30">
        <f>IF(AO5=0,"",IF(AO5&lt;1,2,IF(AND(AO5&gt;=1,AO5&lt;5),3,IF(AND(AO5&gt;=5,AO5&lt;10),4,IF(AND(AO5&gt;=10),5)))))</f>
        <v>4</v>
      </c>
      <c r="AR5" s="32">
        <v>10</v>
      </c>
      <c r="AS5" s="40">
        <v>10</v>
      </c>
      <c r="AT5" s="30">
        <f>IF(AR5=0,"",IF(AR5&lt;1,2,IF(AND(AR5&gt;=1,AR5&lt;5),3,IF(AND(AR5&gt;=5,AR5&lt;10),4,IF(AND(AR5&gt;=10),5)))))</f>
        <v>5</v>
      </c>
      <c r="AU5" s="40">
        <f>SUM(AD5,AG5,AJ5,AM5,AP5,AS5)</f>
        <v>60</v>
      </c>
      <c r="AV5" s="30">
        <f>IF(AU5=0,"",IF(AU5&lt;6,2,IF(AND(AU5&gt;=6,AU5&lt;20),3,IF(AND(AU5&gt;=20,AU5&lt;46),4,IF(AND(AU5&gt;=46),5)))))</f>
        <v>5</v>
      </c>
      <c r="AW5" s="40">
        <f>SUM(Y5,AU5)</f>
        <v>92</v>
      </c>
      <c r="AX5" s="41"/>
      <c r="AY5" s="32" t="s">
        <v>78</v>
      </c>
      <c r="AZ5" s="31">
        <v>10.17</v>
      </c>
      <c r="BA5" s="344">
        <v>5</v>
      </c>
      <c r="BB5" s="30">
        <v>4</v>
      </c>
      <c r="BC5" s="31">
        <v>24.09</v>
      </c>
      <c r="BD5" s="344">
        <v>5</v>
      </c>
      <c r="BE5" s="30">
        <v>4</v>
      </c>
      <c r="BF5" s="31"/>
      <c r="BG5" s="344">
        <v>0</v>
      </c>
      <c r="BH5" s="30" t="str">
        <f>IF(BF5=0,"",IF(BF5&lt;6,2,IF(AND(BF5&gt;=6,BF5&lt;8),3,IF(AND(BF5&gt;=8,BF5&lt;10),4,IF(AND(BF5&gt;=10),5)))))</f>
        <v/>
      </c>
      <c r="BI5" s="31"/>
      <c r="BJ5" s="344">
        <v>0</v>
      </c>
      <c r="BK5" s="30" t="str">
        <f>IF(BI5=0,"",IF(BI5&gt;16.2,2,IF(AND(BI5&lt;=16.2,BI5&gt;15),3,IF(AND(BI5&lt;=15,BI5&gt;14),4,IF(AND(BI5&lt;=14),5)))))</f>
        <v/>
      </c>
      <c r="BL5" s="31"/>
      <c r="BM5" s="344">
        <v>0</v>
      </c>
      <c r="BN5" s="30" t="str">
        <f>IF(BL5=0,"",IF(BL5&lt;2,2,IF(AND(BL5&gt;=2,BL5&lt;3),3,IF(AND(BL5&gt;=3,BL5&lt;4),4,IF(AND(BL5&gt;=4),5)))))</f>
        <v/>
      </c>
      <c r="BO5" s="40">
        <f>SUM(BA5,BD5,BG5,BJ5,BM5)</f>
        <v>10</v>
      </c>
      <c r="BP5" s="30">
        <f t="shared" si="0"/>
        <v>3</v>
      </c>
      <c r="BQ5" s="40">
        <f>SUM(AW5,BO5)</f>
        <v>102</v>
      </c>
      <c r="BR5" s="41"/>
      <c r="BS5" s="31">
        <v>10.6</v>
      </c>
      <c r="BT5" s="344">
        <v>5</v>
      </c>
      <c r="BU5" s="30">
        <f>IF(BS5=0,"",IF(BS5&gt;11.2,2,IF(AND(BS5&lt;=11.2,BS5&gt;10.6),3,IF(AND(BS5&lt;=10.6,BS5&gt;10),4,IF(AND(BS5&lt;=10),5)))))</f>
        <v>4</v>
      </c>
      <c r="BV5" s="31">
        <v>7.36</v>
      </c>
      <c r="BW5" s="344">
        <v>13</v>
      </c>
      <c r="BX5" s="30">
        <f>IF(BV5=0,"",IF(BV5&gt;9.1,2,IF(AND(BV5&lt;=9.1,BV5&gt;8.4),3,IF(AND(BV5&lt;=8.4,BV5&gt;8),4,IF(AND(BV5&lt;=8),5)))))</f>
        <v>5</v>
      </c>
      <c r="BY5" s="31">
        <v>31</v>
      </c>
      <c r="BZ5" s="344">
        <v>11</v>
      </c>
      <c r="CA5" s="30">
        <f>IF(BY5=0,"",IF(BY5&lt;20,2,IF(AND(BY5&gt;=20,BY5&lt;25),3,IF(AND(BY5&gt;=25,BY5&lt;30),4,IF(AND(BY5&gt;=30),5)))))</f>
        <v>5</v>
      </c>
      <c r="CB5" s="31">
        <v>14</v>
      </c>
      <c r="CC5" s="344">
        <v>19</v>
      </c>
      <c r="CD5" s="30">
        <f>IF(CB5=0,"",IF(CB5&lt;1,2,IF(AND(CB5&gt;=1,CB5&lt;3),3,IF(AND(CB5&gt;=3,CB5&lt;5),4,IF(AND(CB5&gt;=5),5)))))</f>
        <v>5</v>
      </c>
      <c r="CE5" s="40">
        <f>SUM(BT5,BW5,BZ5,CC5)</f>
        <v>48</v>
      </c>
      <c r="CF5" s="30">
        <f>IF(CE5=0,"",IF(CE5&lt;4,2,IF(AND(CE5&gt;=4,CE5&lt;16),3,IF(AND(CE5&gt;=16,CE5&lt;30),4,IF(AND(CE5&gt;=30),5)))))</f>
        <v>5</v>
      </c>
      <c r="CG5" s="40">
        <f>SUM(BQ5,CE5)</f>
        <v>150</v>
      </c>
      <c r="CH5" s="41"/>
      <c r="CI5" s="32" t="s">
        <v>78</v>
      </c>
    </row>
    <row r="6" spans="1:87">
      <c r="A6" s="3"/>
      <c r="B6" s="32" t="s">
        <v>79</v>
      </c>
      <c r="C6" s="48">
        <v>35672</v>
      </c>
      <c r="D6" s="47" t="s">
        <v>19</v>
      </c>
      <c r="E6" s="32">
        <v>145</v>
      </c>
      <c r="F6" s="32">
        <v>40</v>
      </c>
      <c r="G6" s="32">
        <v>62</v>
      </c>
      <c r="H6" s="3">
        <v>1.139</v>
      </c>
      <c r="I6" s="44">
        <f>F6/(E6/100)^2</f>
        <v>19.024970273483948</v>
      </c>
      <c r="J6" s="43" t="s">
        <v>26</v>
      </c>
      <c r="K6" s="32">
        <f>((E6-F6)*E6)/(H6*2*G6)</f>
        <v>107.79829505225297</v>
      </c>
      <c r="L6" s="32" t="s">
        <v>79</v>
      </c>
      <c r="M6" s="32">
        <v>110</v>
      </c>
      <c r="N6" s="40">
        <v>0</v>
      </c>
      <c r="O6" s="30">
        <f>IF(M6=0,"",IF(M6&lt;150,2,IF(AND(M6&gt;=150,M6&lt;155),3,IF(AND(M6&gt;=155,M6&lt;160),4,IF(AND(M6&gt;=160),5)))))</f>
        <v>2</v>
      </c>
      <c r="P6" s="32">
        <v>5.6000000000000005</v>
      </c>
      <c r="Q6" s="40">
        <v>10</v>
      </c>
      <c r="R6" s="30">
        <f>IF(P6=0,"",IF(P6&gt;6.2,2,IF(AND(P6&lt;=6.2,P6&gt;5.9),3,IF(AND(P6&lt;=5.9,P6&gt;5.6),4,IF(AND(P6&lt;=5.6),5)))))</f>
        <v>5</v>
      </c>
      <c r="S6" s="32">
        <v>12.5</v>
      </c>
      <c r="T6" s="40">
        <v>0</v>
      </c>
      <c r="U6" s="30">
        <f>IF(S6=0,"",IF(S6&gt;11.4,2,IF(AND(S6&lt;=11.4,S6&gt;11.2),3,IF(AND(S6&lt;=11.2,S6&gt;11),4,IF(AND(S6&lt;=11),5)))))</f>
        <v>2</v>
      </c>
      <c r="V6" s="32">
        <v>1450</v>
      </c>
      <c r="W6" s="40">
        <v>20</v>
      </c>
      <c r="X6" s="30">
        <f>IF(V6=0,"",IF(V6&lt;960,2,IF(AND(V6&gt;=960,V6&lt;1100),3,IF(AND(V6&gt;=1100,V6&lt;1230),4,IF(AND(V6&gt;=1230),5)))))</f>
        <v>5</v>
      </c>
      <c r="Y6" s="40">
        <f>SUM(N6,Q6,T6,W6)</f>
        <v>30</v>
      </c>
      <c r="Z6" s="30">
        <f>IF(Y6=0,"",IF(Y6&lt;4,2,IF(AND(Y6&gt;=4,Y6&lt;16),3,IF(AND(Y6&gt;=16,Y6&lt;30),4,IF(AND(Y6&gt;=30),5)))))</f>
        <v>5</v>
      </c>
      <c r="AA6" s="41"/>
      <c r="AB6" s="32" t="s">
        <v>79</v>
      </c>
      <c r="AC6" s="32">
        <v>31</v>
      </c>
      <c r="AD6" s="40">
        <v>4</v>
      </c>
      <c r="AE6" s="30">
        <f>IF(AC6=0,"",IF(AC6&lt;26,2,IF(AND(AC6&gt;=26,AC6&lt;32),3,IF(AND(AC6&gt;=32,AC6&lt;38),4,IF(AND(AC6&gt;=38),5)))))</f>
        <v>3</v>
      </c>
      <c r="AF6" s="32">
        <v>-7</v>
      </c>
      <c r="AG6" s="40">
        <v>0</v>
      </c>
      <c r="AH6" s="30">
        <f>IF(AF6=0,"",IF(AF6&lt;4,2,IF(AND(AF6&gt;=4,AF6&lt;6),3,IF(AND(AF6&gt;=6,AF6&lt;9),4,IF(AND(AF6&gt;=9),5)))))</f>
        <v>2</v>
      </c>
      <c r="AI6" s="32">
        <v>159</v>
      </c>
      <c r="AJ6" s="40">
        <v>20</v>
      </c>
      <c r="AK6" s="30">
        <f>IF(AI6=0,"",IF(AI6&lt;55,2,IF(AND(AI6&gt;=55,AI6&lt;60),3,IF(AND(AI6&gt;=60,AI6&lt;70),4,IF(AND(AI6&gt;=70),5)))))</f>
        <v>5</v>
      </c>
      <c r="AL6" s="32">
        <v>-1</v>
      </c>
      <c r="AM6" s="40">
        <v>0</v>
      </c>
      <c r="AN6" s="30">
        <f>IF(AL6=0,"",IF(AL6&lt;3,2,IF(AND(AL6&gt;=3,AL6&lt;4),3,IF(AND(AL6&gt;=4,AL6&lt;6),4,IF(AND(AL6&gt;=6),5)))))</f>
        <v>2</v>
      </c>
      <c r="AO6" s="32">
        <v>9</v>
      </c>
      <c r="AP6" s="40">
        <v>9</v>
      </c>
      <c r="AQ6" s="30">
        <f>IF(AO6=0,"",IF(AO6&lt;1,2,IF(AND(AO6&gt;=1,AO6&lt;5),3,IF(AND(AO6&gt;=5,AO6&lt;10),4,IF(AND(AO6&gt;=10),5)))))</f>
        <v>4</v>
      </c>
      <c r="AR6" s="32">
        <v>10</v>
      </c>
      <c r="AS6" s="40">
        <v>10</v>
      </c>
      <c r="AT6" s="30">
        <f>IF(AR6=0,"",IF(AR6&lt;1,2,IF(AND(AR6&gt;=1,AR6&lt;5),3,IF(AND(AR6&gt;=5,AR6&lt;10),4,IF(AND(AR6&gt;=10),5)))))</f>
        <v>5</v>
      </c>
      <c r="AU6" s="40">
        <f>SUM(AD6,AG6,AJ6,AM6,AP6,AS6)</f>
        <v>43</v>
      </c>
      <c r="AV6" s="30">
        <f>IF(AU6=0,"",IF(AU6&lt;6,2,IF(AND(AU6&gt;=6,AU6&lt;20),3,IF(AND(AU6&gt;=20,AU6&lt;46),4,IF(AND(AU6&gt;=46),5)))))</f>
        <v>4</v>
      </c>
      <c r="AW6" s="40">
        <f>SUM(Y6,AU6)</f>
        <v>73</v>
      </c>
      <c r="AX6" s="41"/>
      <c r="AY6" s="32" t="s">
        <v>79</v>
      </c>
      <c r="AZ6" s="31">
        <v>10.59</v>
      </c>
      <c r="BA6" s="344">
        <v>1</v>
      </c>
      <c r="BB6" s="30">
        <v>3</v>
      </c>
      <c r="BC6" s="31">
        <v>23.51</v>
      </c>
      <c r="BD6" s="344">
        <v>0</v>
      </c>
      <c r="BE6" s="30">
        <f>IF(BC6=0,"",IF(BC6&gt;16,2,IF(AND(BC6&lt;=16,BC6&gt;15),3,IF(AND(BC6&lt;=15,BC6&gt;14),4,IF(AND(BC6&lt;=14),5)))))</f>
        <v>2</v>
      </c>
      <c r="BF6" s="31">
        <v>16</v>
      </c>
      <c r="BG6" s="344">
        <v>16</v>
      </c>
      <c r="BH6" s="30">
        <f>IF(BF6=0,"",IF(BF6&lt;6,2,IF(AND(BF6&gt;=6,BF6&lt;8),3,IF(AND(BF6&gt;=8,BF6&lt;10),4,IF(AND(BF6&gt;=10),5)))))</f>
        <v>5</v>
      </c>
      <c r="BI6" s="31">
        <v>17.2</v>
      </c>
      <c r="BJ6" s="344">
        <v>0</v>
      </c>
      <c r="BK6" s="30">
        <f>IF(BI6=0,"",IF(BI6&gt;16.2,2,IF(AND(BI6&lt;=16.2,BI6&gt;15),3,IF(AND(BI6&lt;=15,BI6&gt;14),4,IF(AND(BI6&lt;=14),5)))))</f>
        <v>2</v>
      </c>
      <c r="BL6" s="31">
        <v>3</v>
      </c>
      <c r="BM6" s="344">
        <v>5</v>
      </c>
      <c r="BN6" s="30">
        <f>IF(BL6=0,"",IF(BL6&lt;2,2,IF(AND(BL6&gt;=2,BL6&lt;3),3,IF(AND(BL6&gt;=3,BL6&lt;4),4,IF(AND(BL6&gt;=4),5)))))</f>
        <v>4</v>
      </c>
      <c r="BO6" s="40">
        <f>SUM(BA6,BD6,BG6,BJ6,BM6)</f>
        <v>22</v>
      </c>
      <c r="BP6" s="30">
        <f t="shared" si="0"/>
        <v>4</v>
      </c>
      <c r="BQ6" s="40">
        <f>SUM(AW6,BO6)</f>
        <v>95</v>
      </c>
      <c r="BR6" s="41"/>
      <c r="BS6" s="31">
        <v>11.7</v>
      </c>
      <c r="BT6" s="344">
        <v>0</v>
      </c>
      <c r="BU6" s="30">
        <f>IF(BS6=0,"",IF(BS6&gt;11.2,2,IF(AND(BS6&lt;=11.2,BS6&gt;10.6),3,IF(AND(BS6&lt;=10.6,BS6&gt;10),4,IF(AND(BS6&lt;=10),5)))))</f>
        <v>2</v>
      </c>
      <c r="BV6" s="31">
        <v>11.55</v>
      </c>
      <c r="BW6" s="344">
        <v>0</v>
      </c>
      <c r="BX6" s="30">
        <f>IF(BV6=0,"",IF(BV6&gt;9.1,2,IF(AND(BV6&lt;=9.1,BV6&gt;8.4),3,IF(AND(BV6&lt;=8.4,BV6&gt;8),4,IF(AND(BV6&lt;=8),5)))))</f>
        <v>2</v>
      </c>
      <c r="BY6" s="31">
        <v>25</v>
      </c>
      <c r="BZ6" s="344">
        <v>5</v>
      </c>
      <c r="CA6" s="30">
        <f>IF(BY6=0,"",IF(BY6&lt;20,2,IF(AND(BY6&gt;=20,BY6&lt;25),3,IF(AND(BY6&gt;=25,BY6&lt;30),4,IF(AND(BY6&gt;=30),5)))))</f>
        <v>4</v>
      </c>
      <c r="CB6" s="31"/>
      <c r="CC6" s="344"/>
      <c r="CD6" s="30" t="str">
        <f>IF(CB6=0,"",IF(CB6&lt;1,2,IF(AND(CB6&gt;=1,CB6&lt;3),3,IF(AND(CB6&gt;=3,CB6&lt;5),4,IF(AND(CB6&gt;=5),5)))))</f>
        <v/>
      </c>
      <c r="CE6" s="40">
        <f>SUM(BT6,BW6,BZ6,CC6)</f>
        <v>5</v>
      </c>
      <c r="CF6" s="30">
        <f>IF(CE6=0,"",IF(CE6&lt;4,2,IF(AND(CE6&gt;=4,CE6&lt;16),3,IF(AND(CE6&gt;=16,CE6&lt;30),4,IF(AND(CE6&gt;=30),5)))))</f>
        <v>3</v>
      </c>
      <c r="CG6" s="40">
        <f>SUM(BQ6,CE6)</f>
        <v>100</v>
      </c>
      <c r="CH6" s="41"/>
      <c r="CI6" s="32" t="s">
        <v>79</v>
      </c>
    </row>
    <row r="7" spans="1:87">
      <c r="A7" s="3"/>
      <c r="B7" s="34" t="s">
        <v>80</v>
      </c>
      <c r="C7" s="48">
        <v>35747</v>
      </c>
      <c r="D7" s="47" t="s">
        <v>19</v>
      </c>
      <c r="E7" s="32">
        <v>145</v>
      </c>
      <c r="F7" s="32">
        <v>51</v>
      </c>
      <c r="G7" s="32">
        <v>76</v>
      </c>
      <c r="H7" s="3">
        <v>1.139</v>
      </c>
      <c r="I7" s="44">
        <f>F7/(E7/100)^2</f>
        <v>24.256837098692031</v>
      </c>
      <c r="J7" s="43" t="s">
        <v>21</v>
      </c>
      <c r="K7" s="32">
        <f>((E7-F7)*E7)/(H7*2*G7)</f>
        <v>78.727877639665437</v>
      </c>
      <c r="L7" s="34" t="s">
        <v>80</v>
      </c>
      <c r="M7" s="32">
        <v>129</v>
      </c>
      <c r="N7" s="40">
        <v>0</v>
      </c>
      <c r="O7" s="30">
        <f>IF(M7=0,"",IF(M7&lt;150,2,IF(AND(M7&gt;=150,M7&lt;155),3,IF(AND(M7&gt;=155,M7&lt;160),4,IF(AND(M7&gt;=160),5)))))</f>
        <v>2</v>
      </c>
      <c r="P7" s="32">
        <v>6</v>
      </c>
      <c r="Q7" s="40">
        <v>4</v>
      </c>
      <c r="R7" s="30">
        <f>IF(P7=0,"",IF(P7&gt;6.2,2,IF(AND(P7&lt;=6.2,P7&gt;5.9),3,IF(AND(P7&lt;=5.9,P7&gt;5.6),4,IF(AND(P7&lt;=5.6),5)))))</f>
        <v>3</v>
      </c>
      <c r="S7" s="32">
        <v>11.9</v>
      </c>
      <c r="T7" s="40">
        <v>0</v>
      </c>
      <c r="U7" s="30">
        <f>IF(S7=0,"",IF(S7&gt;11.4,2,IF(AND(S7&lt;=11.4,S7&gt;11.2),3,IF(AND(S7&lt;=11.2,S7&gt;11),4,IF(AND(S7&lt;=11),5)))))</f>
        <v>2</v>
      </c>
      <c r="V7" s="32">
        <v>900</v>
      </c>
      <c r="W7" s="40">
        <v>0</v>
      </c>
      <c r="X7" s="30">
        <f>IF(V7=0,"",IF(V7&lt;960,2,IF(AND(V7&gt;=960,V7&lt;1100),3,IF(AND(V7&gt;=1100,V7&lt;1230),4,IF(AND(V7&gt;=1230),5)))))</f>
        <v>2</v>
      </c>
      <c r="Y7" s="40">
        <f>SUM(N7,Q7,T7,W7)</f>
        <v>4</v>
      </c>
      <c r="Z7" s="30">
        <f>IF(Y7=0,"",IF(Y7&lt;4,2,IF(AND(Y7&gt;=4,Y7&lt;16),3,IF(AND(Y7&gt;=16,Y7&lt;30),4,IF(AND(Y7&gt;=30),5)))))</f>
        <v>3</v>
      </c>
      <c r="AA7" s="41"/>
      <c r="AB7" s="34" t="s">
        <v>80</v>
      </c>
      <c r="AC7" s="32">
        <v>21</v>
      </c>
      <c r="AD7" s="40">
        <v>0</v>
      </c>
      <c r="AE7" s="30">
        <f>IF(AC7=0,"",IF(AC7&lt;26,2,IF(AND(AC7&gt;=26,AC7&lt;32),3,IF(AND(AC7&gt;=32,AC7&lt;38),4,IF(AND(AC7&gt;=38),5)))))</f>
        <v>2</v>
      </c>
      <c r="AF7" s="32">
        <v>15</v>
      </c>
      <c r="AG7" s="40">
        <v>20</v>
      </c>
      <c r="AH7" s="30">
        <f>IF(AF7=0,"",IF(AF7&lt;4,2,IF(AND(AF7&gt;=4,AF7&lt;6),3,IF(AND(AF7&gt;=6,AF7&lt;9),4,IF(AND(AF7&gt;=9),5)))))</f>
        <v>5</v>
      </c>
      <c r="AI7" s="32">
        <v>72</v>
      </c>
      <c r="AJ7" s="40">
        <v>10</v>
      </c>
      <c r="AK7" s="30">
        <f>IF(AI7=0,"",IF(AI7&lt;55,2,IF(AND(AI7&gt;=55,AI7&lt;60),3,IF(AND(AI7&gt;=60,AI7&lt;70),4,IF(AND(AI7&gt;=70),5)))))</f>
        <v>5</v>
      </c>
      <c r="AL7" s="32">
        <v>-1</v>
      </c>
      <c r="AM7" s="40">
        <v>0</v>
      </c>
      <c r="AN7" s="30">
        <f>IF(AL7=0,"",IF(AL7&lt;3,2,IF(AND(AL7&gt;=3,AL7&lt;4),3,IF(AND(AL7&gt;=4,AL7&lt;6),4,IF(AND(AL7&gt;=6),5)))))</f>
        <v>2</v>
      </c>
      <c r="AO7" s="32">
        <v>6</v>
      </c>
      <c r="AP7" s="40">
        <v>6</v>
      </c>
      <c r="AQ7" s="30">
        <f>IF(AO7=0,"",IF(AO7&lt;1,2,IF(AND(AO7&gt;=1,AO7&lt;5),3,IF(AND(AO7&gt;=5,AO7&lt;10),4,IF(AND(AO7&gt;=10),5)))))</f>
        <v>4</v>
      </c>
      <c r="AR7" s="32">
        <v>7</v>
      </c>
      <c r="AS7" s="40">
        <v>7</v>
      </c>
      <c r="AT7" s="30">
        <f>IF(AR7=0,"",IF(AR7&lt;1,2,IF(AND(AR7&gt;=1,AR7&lt;5),3,IF(AND(AR7&gt;=5,AR7&lt;10),4,IF(AND(AR7&gt;=10),5)))))</f>
        <v>4</v>
      </c>
      <c r="AU7" s="40">
        <f>SUM(AD7,AG7,AJ7,AM7,AP7,AS7)</f>
        <v>43</v>
      </c>
      <c r="AV7" s="30">
        <f>IF(AU7=0,"",IF(AU7&lt;6,2,IF(AND(AU7&gt;=6,AU7&lt;20),3,IF(AND(AU7&gt;=20,AU7&lt;46),4,IF(AND(AU7&gt;=46),5)))))</f>
        <v>4</v>
      </c>
      <c r="AW7" s="40">
        <f>SUM(Y7,AU7)</f>
        <v>47</v>
      </c>
      <c r="AX7" s="41"/>
      <c r="AY7" s="34" t="s">
        <v>80</v>
      </c>
      <c r="AZ7" s="31"/>
      <c r="BA7" s="344"/>
      <c r="BB7" s="30" t="str">
        <f>IF(AZ7=0,"",IF(AZ7&gt;7.4,2,IF(AND(AZ7&lt;=7.4,AZ7&gt;7),3,IF(AND(AZ7&lt;=7,AZ7&gt;6.3),4,IF(AND(AZ7&lt;=6.3),5)))))</f>
        <v/>
      </c>
      <c r="BC7" s="31"/>
      <c r="BD7" s="344"/>
      <c r="BE7" s="30" t="str">
        <f>IF(BC7=0,"",IF(BC7&gt;16,2,IF(AND(BC7&lt;=16,BC7&gt;15),3,IF(AND(BC7&lt;=15,BC7&gt;14),4,IF(AND(BC7&lt;=14),5)))))</f>
        <v/>
      </c>
      <c r="BF7" s="31">
        <v>9</v>
      </c>
      <c r="BG7" s="344">
        <v>8</v>
      </c>
      <c r="BH7" s="30">
        <f>IF(BF7=0,"",IF(BF7&lt;6,2,IF(AND(BF7&gt;=6,BF7&lt;8),3,IF(AND(BF7&gt;=8,BF7&lt;10),4,IF(AND(BF7&gt;=10),5)))))</f>
        <v>4</v>
      </c>
      <c r="BI7" s="31">
        <v>17.5</v>
      </c>
      <c r="BJ7" s="344">
        <v>0</v>
      </c>
      <c r="BK7" s="30">
        <f>IF(BI7=0,"",IF(BI7&gt;16.2,2,IF(AND(BI7&lt;=16.2,BI7&gt;15),3,IF(AND(BI7&lt;=15,BI7&gt;14),4,IF(AND(BI7&lt;=14),5)))))</f>
        <v>2</v>
      </c>
      <c r="BL7" s="31">
        <v>3</v>
      </c>
      <c r="BM7" s="344">
        <v>5</v>
      </c>
      <c r="BN7" s="30">
        <f>IF(BL7=0,"",IF(BL7&lt;2,2,IF(AND(BL7&gt;=2,BL7&lt;3),3,IF(AND(BL7&gt;=3,BL7&lt;4),4,IF(AND(BL7&gt;=4),5)))))</f>
        <v>4</v>
      </c>
      <c r="BO7" s="40">
        <f>SUM(BA7,BD7,BG7,BJ7,BM7)</f>
        <v>13</v>
      </c>
      <c r="BP7" s="30">
        <f t="shared" si="0"/>
        <v>3</v>
      </c>
      <c r="BQ7" s="40">
        <f>SUM(AW7,BO7)</f>
        <v>60</v>
      </c>
      <c r="BR7" s="41"/>
      <c r="BS7" s="31">
        <v>12.3</v>
      </c>
      <c r="BT7" s="344">
        <v>0</v>
      </c>
      <c r="BU7" s="30">
        <f>IF(BS7=0,"",IF(BS7&gt;11.2,2,IF(AND(BS7&lt;=11.2,BS7&gt;10.6),3,IF(AND(BS7&lt;=10.6,BS7&gt;10),4,IF(AND(BS7&lt;=10),5)))))</f>
        <v>2</v>
      </c>
      <c r="BV7" s="31">
        <v>14.22</v>
      </c>
      <c r="BW7" s="344">
        <v>0</v>
      </c>
      <c r="BX7" s="30">
        <f>IF(BV7=0,"",IF(BV7&gt;9.1,2,IF(AND(BV7&lt;=9.1,BV7&gt;8.4),3,IF(AND(BV7&lt;=8.4,BV7&gt;8),4,IF(AND(BV7&lt;=8),5)))))</f>
        <v>2</v>
      </c>
      <c r="BY7" s="31">
        <v>29</v>
      </c>
      <c r="BZ7" s="344">
        <v>9</v>
      </c>
      <c r="CA7" s="30">
        <f>IF(BY7=0,"",IF(BY7&lt;20,2,IF(AND(BY7&gt;=20,BY7&lt;25),3,IF(AND(BY7&gt;=25,BY7&lt;30),4,IF(AND(BY7&gt;=30),5)))))</f>
        <v>4</v>
      </c>
      <c r="CB7" s="31">
        <v>1</v>
      </c>
      <c r="CC7" s="344">
        <v>1</v>
      </c>
      <c r="CD7" s="30">
        <f>IF(CB7=0,"",IF(CB7&lt;1,2,IF(AND(CB7&gt;=1,CB7&lt;3),3,IF(AND(CB7&gt;=3,CB7&lt;5),4,IF(AND(CB7&gt;=5),5)))))</f>
        <v>3</v>
      </c>
      <c r="CE7" s="40">
        <f>SUM(BT7,BW7,BZ7,CC7)</f>
        <v>10</v>
      </c>
      <c r="CF7" s="30">
        <f>IF(CE7=0,"",IF(CE7&lt;4,2,IF(AND(CE7&gt;=4,CE7&lt;16),3,IF(AND(CE7&gt;=16,CE7&lt;30),4,IF(AND(CE7&gt;=30),5)))))</f>
        <v>3</v>
      </c>
      <c r="CG7" s="40">
        <f>SUM(BQ7,CE7)</f>
        <v>70</v>
      </c>
      <c r="CH7" s="41"/>
      <c r="CI7" s="34" t="s">
        <v>80</v>
      </c>
    </row>
    <row r="8" spans="1:87">
      <c r="A8" s="8"/>
      <c r="B8" s="50"/>
      <c r="C8" s="85"/>
      <c r="D8" s="85"/>
      <c r="E8" s="85"/>
      <c r="F8" s="85"/>
      <c r="G8" s="85"/>
      <c r="H8" s="85"/>
      <c r="I8" s="85"/>
      <c r="J8" s="85"/>
      <c r="K8" s="84"/>
      <c r="L8" s="50"/>
      <c r="M8" s="61"/>
      <c r="N8" s="60"/>
      <c r="O8" s="59"/>
      <c r="P8" s="61"/>
      <c r="Q8" s="60"/>
      <c r="R8" s="59"/>
      <c r="S8" s="61"/>
      <c r="T8" s="60"/>
      <c r="U8" s="59"/>
      <c r="V8" s="61"/>
      <c r="W8" s="60"/>
      <c r="X8" s="59"/>
      <c r="Y8" s="60"/>
      <c r="Z8" s="59"/>
      <c r="AA8" s="58"/>
      <c r="AB8" s="96"/>
      <c r="AC8" s="36"/>
      <c r="AD8" s="57"/>
      <c r="AE8" s="54"/>
      <c r="AF8" s="36"/>
      <c r="AG8" s="57"/>
      <c r="AH8" s="54"/>
      <c r="AI8" s="36"/>
      <c r="AJ8" s="57"/>
      <c r="AK8" s="54"/>
      <c r="AL8" s="36"/>
      <c r="AM8" s="57"/>
      <c r="AN8" s="54"/>
      <c r="AO8" s="36"/>
      <c r="AP8" s="57"/>
      <c r="AQ8" s="54"/>
      <c r="AR8" s="36"/>
      <c r="AS8" s="57"/>
      <c r="AT8" s="54"/>
      <c r="AU8" s="57"/>
      <c r="AV8" s="54"/>
      <c r="AW8" s="56"/>
      <c r="AX8" s="55"/>
      <c r="AY8" s="50"/>
      <c r="AZ8" s="36"/>
      <c r="BA8" s="345"/>
      <c r="BB8" s="54"/>
      <c r="BC8" s="36"/>
      <c r="BD8" s="345"/>
      <c r="BE8" s="54"/>
      <c r="BF8" s="36"/>
      <c r="BG8" s="345"/>
      <c r="BH8" s="54"/>
      <c r="BI8" s="36"/>
      <c r="BJ8" s="345"/>
      <c r="BK8" s="54"/>
      <c r="BL8" s="36"/>
      <c r="BM8" s="345"/>
      <c r="BN8" s="54"/>
      <c r="BO8" s="36"/>
      <c r="BP8" s="59" t="str">
        <f t="shared" si="0"/>
        <v/>
      </c>
      <c r="BQ8" s="53"/>
      <c r="BR8" s="226"/>
      <c r="BS8" s="51"/>
      <c r="BT8" s="346"/>
      <c r="BU8" s="52"/>
      <c r="BV8" s="51"/>
      <c r="BW8" s="346"/>
      <c r="BX8" s="52"/>
      <c r="BY8" s="51"/>
      <c r="BZ8" s="346"/>
      <c r="CA8" s="52"/>
      <c r="CB8" s="51"/>
      <c r="CC8" s="346"/>
      <c r="CD8" s="52"/>
      <c r="CE8" s="51"/>
      <c r="CF8" s="52"/>
      <c r="CG8" s="51"/>
      <c r="CH8" s="51"/>
      <c r="CI8" s="50"/>
    </row>
    <row r="9" spans="1:87">
      <c r="A9" s="3"/>
      <c r="B9" s="32" t="s">
        <v>81</v>
      </c>
      <c r="C9" s="48">
        <v>35740</v>
      </c>
      <c r="D9" s="47" t="s">
        <v>19</v>
      </c>
      <c r="E9" s="32">
        <v>144</v>
      </c>
      <c r="F9" s="32">
        <v>31</v>
      </c>
      <c r="G9" s="45">
        <v>63</v>
      </c>
      <c r="H9" s="3">
        <v>1.1499999999999999</v>
      </c>
      <c r="I9" s="44">
        <f t="shared" ref="I9:I22" si="1">F9/(E9/100)^2</f>
        <v>14.949845679012347</v>
      </c>
      <c r="J9" s="43" t="s">
        <v>82</v>
      </c>
      <c r="K9" s="32">
        <f t="shared" ref="K9:K22" si="2">((E9-F9)*E9)/(H9*2*G9)</f>
        <v>112.29813664596276</v>
      </c>
      <c r="L9" s="32" t="s">
        <v>81</v>
      </c>
      <c r="M9" s="32">
        <v>175</v>
      </c>
      <c r="N9" s="40">
        <v>20</v>
      </c>
      <c r="O9" s="30">
        <f t="shared" ref="O9:O22" si="3">IF(M9=0,"",IF(M9&lt;130,2,IF(AND(M9&gt;=130,M9&lt;138),3,IF(AND(M9&gt;=138,M9&lt;148),4,IF(AND(M9&gt;=148),5)))))</f>
        <v>5</v>
      </c>
      <c r="P9" s="32">
        <v>5.8</v>
      </c>
      <c r="Q9" s="40">
        <v>10</v>
      </c>
      <c r="R9" s="30">
        <f t="shared" ref="R9:R22" si="4">IF(P9=0,"",IF(P9&gt;6.6,2,IF(AND(P9&lt;=6.6,P9&gt;6.2),3,IF(AND(P9&lt;=6.2,P9&gt;5.8),4,IF(AND(P9&lt;=5.8),5)))))</f>
        <v>5</v>
      </c>
      <c r="S9" s="32">
        <v>11</v>
      </c>
      <c r="T9" s="40">
        <v>20</v>
      </c>
      <c r="U9" s="30">
        <f t="shared" ref="U9:U22" si="5">IF(S9=0,"",IF(S9&gt;12,2,IF(AND(S9&lt;=12,S9&gt;11.8),3,IF(AND(S9&lt;=11.8,S9&gt;11.4),4,IF(AND(S9&lt;=11.4),5)))))</f>
        <v>5</v>
      </c>
      <c r="V9" s="32">
        <v>1250</v>
      </c>
      <c r="W9" s="40">
        <v>20</v>
      </c>
      <c r="X9" s="30">
        <f t="shared" ref="X9:X22" si="6">IF(V9=0,"",IF(V9&lt;900,2,IF(AND(V9&gt;=900,V9&lt;1040),3,IF(AND(V9&gt;=1040,V9&lt;1170),4,IF(AND(V9&gt;=1170),5)))))</f>
        <v>5</v>
      </c>
      <c r="Y9" s="40">
        <f t="shared" ref="Y9:Y22" si="7">SUM(N9,Q9,T9,W9)</f>
        <v>70</v>
      </c>
      <c r="Z9" s="30">
        <f t="shared" ref="Z9:Z22" si="8">IF(Y9=0,"",IF(Y9&lt;4,2,IF(AND(Y9&gt;=4,Y9&lt;16),3,IF(AND(Y9&gt;=16,Y9&lt;30),4,IF(AND(Y9&gt;=30),5)))))</f>
        <v>5</v>
      </c>
      <c r="AA9" s="223">
        <v>5</v>
      </c>
      <c r="AB9" s="32" t="s">
        <v>81</v>
      </c>
      <c r="AC9" s="29">
        <v>35</v>
      </c>
      <c r="AD9" s="42">
        <v>20</v>
      </c>
      <c r="AE9" s="30">
        <f t="shared" ref="AE9:AE22" si="9">IF(AC9=0,"",IF(AC9&lt;18,2,IF(AND(AC9&gt;=18,AC9&lt;24),3,IF(AND(AC9&gt;=24,AC9&lt;28),4,IF(AND(AC9&gt;=28),5)))))</f>
        <v>5</v>
      </c>
      <c r="AF9" s="29">
        <v>13</v>
      </c>
      <c r="AG9" s="42">
        <v>14</v>
      </c>
      <c r="AH9" s="30">
        <f t="shared" ref="AH9:AH22" si="10">IF(AF9=0,"",IF(AF9&lt;6,2,IF(AND(AF9&gt;=6,AF9&lt;9),3,IF(AND(AF9&gt;=9,AF9&lt;12),4,IF(AND(AF9&gt;=12),5)))))</f>
        <v>5</v>
      </c>
      <c r="AI9" s="29">
        <v>104</v>
      </c>
      <c r="AJ9" s="42">
        <v>14</v>
      </c>
      <c r="AK9" s="30">
        <f t="shared" ref="AK9:AK22" si="11">IF(AI9=0,"",IF(AI9&lt;30,2,IF(AND(AI9&gt;=30,AI9&lt;50),3,IF(AND(AI9&gt;=50,AI9&lt;80),4,IF(AND(AI9&gt;=80),5)))))</f>
        <v>5</v>
      </c>
      <c r="AL9" s="29">
        <v>16</v>
      </c>
      <c r="AM9" s="42">
        <v>20</v>
      </c>
      <c r="AN9" s="30">
        <f t="shared" ref="AN9:AN22" si="12">IF(AL9=0,"",IF(AL9&lt;7,2,IF(AND(AL9&gt;=7,AL9&lt;8),3,IF(AND(AL9&gt;=8,AL9&lt;11),4,IF(AND(AL9&gt;=11),5)))))</f>
        <v>5</v>
      </c>
      <c r="AO9" s="29">
        <v>13</v>
      </c>
      <c r="AP9" s="42">
        <v>13</v>
      </c>
      <c r="AQ9" s="30">
        <f t="shared" ref="AQ9:AQ22" si="13">IF(AO9=0,"",IF(AO9&lt;1,2,IF(AND(AO9&gt;=1,AO9&lt;5),3,IF(AND(AO9&gt;=5,AO9&lt;10),4,IF(AND(AO9&gt;=10),5)))))</f>
        <v>5</v>
      </c>
      <c r="AR9" s="29">
        <v>10</v>
      </c>
      <c r="AS9" s="42">
        <v>10</v>
      </c>
      <c r="AT9" s="30">
        <f t="shared" ref="AT9:AT22" si="14">IF(AR9=0,"",IF(AR9&lt;1,2,IF(AND(AR9&gt;=1,AR9&lt;5),3,IF(AND(AR9&gt;=5,AR9&lt;10),4,IF(AND(AR9&gt;=10),5)))))</f>
        <v>5</v>
      </c>
      <c r="AU9" s="40">
        <f t="shared" ref="AU9:AU22" si="15">SUM(AD9,AG9,AJ9,AM9,AP9,AS9)</f>
        <v>91</v>
      </c>
      <c r="AV9" s="30">
        <f t="shared" ref="AV9:AV22" si="16">IF(AU9=0,"",IF(AU9&lt;6,2,IF(AND(AU9&gt;=6,AU9&lt;20),3,IF(AND(AU9&gt;=20,AU9&lt;46),4,IF(AND(AU9&gt;=46),5)))))</f>
        <v>5</v>
      </c>
      <c r="AW9" s="40">
        <f t="shared" ref="AW9:AW22" si="17">SUM(Y9,AU9)</f>
        <v>161</v>
      </c>
      <c r="AX9" s="223">
        <v>5</v>
      </c>
      <c r="AY9" s="32" t="s">
        <v>81</v>
      </c>
      <c r="AZ9" s="31">
        <v>8.02</v>
      </c>
      <c r="BA9" s="344">
        <v>10</v>
      </c>
      <c r="BB9" s="30">
        <v>5</v>
      </c>
      <c r="BC9" s="31">
        <v>18.149999999999999</v>
      </c>
      <c r="BD9" s="344">
        <v>5</v>
      </c>
      <c r="BE9" s="30">
        <v>4</v>
      </c>
      <c r="BF9" s="31">
        <v>20</v>
      </c>
      <c r="BG9" s="344">
        <v>20</v>
      </c>
      <c r="BH9" s="30">
        <f t="shared" ref="BH9:BH22" si="18">IF(BF9=0,"",IF(BF9&lt;6,2,IF(AND(BF9&gt;=6,BF9&lt;8),3,IF(AND(BF9&gt;=8,BF9&lt;10),4,IF(AND(BF9&gt;=10),5)))))</f>
        <v>5</v>
      </c>
      <c r="BI9" s="31">
        <v>14.8</v>
      </c>
      <c r="BJ9" s="344">
        <v>14</v>
      </c>
      <c r="BK9" s="30">
        <f t="shared" ref="BK9:BK22" si="19">IF(BI9=0,"",IF(BI9&gt;18.5,2,IF(AND(BI9&lt;=18.5,BI9&gt;17),3,IF(AND(BI9&lt;=17,BI9&gt;16),4,IF(AND(BI9&lt;=16),5)))))</f>
        <v>5</v>
      </c>
      <c r="BL9" s="31">
        <v>4</v>
      </c>
      <c r="BM9" s="344">
        <v>10</v>
      </c>
      <c r="BN9" s="30">
        <f t="shared" ref="BN9:BN22" si="20">IF(BL9=0,"",IF(BL9&lt;1,2,IF(AND(BL9&gt;=1,BL9&lt;3),3,IF(AND(BL9&gt;=3,BL9&lt;4),4,IF(AND(BL9&gt;=4),5)))))</f>
        <v>5</v>
      </c>
      <c r="BO9" s="40">
        <f t="shared" ref="BO9:BO22" si="21">SUM(BA9,BD9,BG9,BJ9,BM9)</f>
        <v>59</v>
      </c>
      <c r="BP9" s="30">
        <f t="shared" si="0"/>
        <v>5</v>
      </c>
      <c r="BQ9" s="40">
        <f t="shared" ref="BQ9:BQ22" si="22">SUM(AW9,BO9)</f>
        <v>220</v>
      </c>
      <c r="BR9" s="41"/>
      <c r="BS9" s="31">
        <v>9.5</v>
      </c>
      <c r="BT9" s="344">
        <v>19</v>
      </c>
      <c r="BU9" s="30">
        <f t="shared" ref="BU9:BU22" si="23">IF(BS9=0,"",IF(BS9&gt;11.4,2,IF(AND(BS9&lt;=11.4,BS9&gt;10.8),3,IF(AND(BS9&lt;=10.8,BS9&gt;10.4),4,IF(AND(BS9&lt;=10.4),5)))))</f>
        <v>5</v>
      </c>
      <c r="BV9" s="31">
        <v>9.09</v>
      </c>
      <c r="BW9" s="344">
        <v>8</v>
      </c>
      <c r="BX9" s="30">
        <f t="shared" ref="BX9:BX22" si="24">IF(BV9=0,"",IF(BV9&gt;10.3,2,IF(AND(BV9&lt;=10.3,BV9&gt;9.4),3,IF(AND(BV9&lt;=9.4,BV9&gt;9),4,IF(AND(BV9&lt;=9),5)))))</f>
        <v>4</v>
      </c>
      <c r="BY9" s="31">
        <v>18</v>
      </c>
      <c r="BZ9" s="344">
        <v>7</v>
      </c>
      <c r="CA9" s="30">
        <f t="shared" ref="CA9:CA22" si="25">IF(BY9=0,"",IF(BY9&lt;14,2,IF(AND(BY9&gt;=14,BY9&lt;17),3,IF(AND(BY9&gt;=17,BY9&lt;21),4,IF(AND(BY9&gt;=21),5)))))</f>
        <v>4</v>
      </c>
      <c r="CB9" s="31">
        <v>7</v>
      </c>
      <c r="CC9" s="344">
        <v>17</v>
      </c>
      <c r="CD9" s="30">
        <f t="shared" ref="CD9:CD22" si="26">IF(CB9=0,"",IF(CB9&lt;1,2,IF(AND(CB9&gt;=1,CB9&lt;3),3,IF(AND(CB9&gt;=3,CB9&lt;5),4,IF(AND(CB9&gt;=5),5)))))</f>
        <v>5</v>
      </c>
      <c r="CE9" s="40">
        <f t="shared" ref="CE9:CE22" si="27">SUM(BT9,BW9,BZ9,CC9)</f>
        <v>51</v>
      </c>
      <c r="CF9" s="30">
        <f t="shared" ref="CF9:CF21" si="28">IF(CE9=0,"",IF(CE9&lt;4,2,IF(AND(CE9&gt;=4,CE9&lt;16),3,IF(AND(CE9&gt;=16,CE9&lt;30),4,IF(AND(CE9&gt;=30),5)))))</f>
        <v>5</v>
      </c>
      <c r="CG9" s="40">
        <f t="shared" ref="CG9:CG22" si="29">SUM(BQ9,CE9)</f>
        <v>271</v>
      </c>
      <c r="CH9" s="41"/>
      <c r="CI9" s="32" t="s">
        <v>81</v>
      </c>
    </row>
    <row r="10" spans="1:87">
      <c r="A10" s="3"/>
      <c r="B10" s="3" t="s">
        <v>83</v>
      </c>
      <c r="C10" s="49">
        <v>35470</v>
      </c>
      <c r="D10" s="47" t="s">
        <v>19</v>
      </c>
      <c r="E10" s="32">
        <v>162</v>
      </c>
      <c r="F10" s="32">
        <v>55</v>
      </c>
      <c r="G10" s="39">
        <v>75</v>
      </c>
      <c r="H10" s="3">
        <v>1.1499999999999999</v>
      </c>
      <c r="I10" s="44">
        <f t="shared" si="1"/>
        <v>20.957171162932475</v>
      </c>
      <c r="J10" s="43" t="s">
        <v>21</v>
      </c>
      <c r="K10" s="32">
        <f t="shared" si="2"/>
        <v>100.48695652173913</v>
      </c>
      <c r="L10" s="3" t="s">
        <v>83</v>
      </c>
      <c r="M10" s="3">
        <v>182</v>
      </c>
      <c r="N10" s="97">
        <v>20</v>
      </c>
      <c r="O10" s="30">
        <f t="shared" si="3"/>
        <v>5</v>
      </c>
      <c r="P10" s="3">
        <v>5.2</v>
      </c>
      <c r="Q10" s="3">
        <v>20</v>
      </c>
      <c r="R10" s="30">
        <f t="shared" si="4"/>
        <v>5</v>
      </c>
      <c r="S10" s="3">
        <v>10.4</v>
      </c>
      <c r="T10" s="3">
        <v>20</v>
      </c>
      <c r="U10" s="30">
        <f t="shared" si="5"/>
        <v>5</v>
      </c>
      <c r="V10" s="3">
        <v>1250</v>
      </c>
      <c r="W10" s="40">
        <v>20</v>
      </c>
      <c r="X10" s="30">
        <f t="shared" si="6"/>
        <v>5</v>
      </c>
      <c r="Y10" s="40">
        <f t="shared" si="7"/>
        <v>80</v>
      </c>
      <c r="Z10" s="30">
        <f t="shared" si="8"/>
        <v>5</v>
      </c>
      <c r="AA10" s="223">
        <v>5</v>
      </c>
      <c r="AB10" s="3" t="s">
        <v>83</v>
      </c>
      <c r="AC10" s="29">
        <v>36</v>
      </c>
      <c r="AD10" s="42">
        <v>20</v>
      </c>
      <c r="AE10" s="30">
        <f t="shared" si="9"/>
        <v>5</v>
      </c>
      <c r="AF10" s="29">
        <v>19</v>
      </c>
      <c r="AG10" s="42">
        <v>20</v>
      </c>
      <c r="AH10" s="30">
        <f t="shared" si="10"/>
        <v>5</v>
      </c>
      <c r="AI10" s="29">
        <v>115</v>
      </c>
      <c r="AJ10" s="42">
        <v>17</v>
      </c>
      <c r="AK10" s="30">
        <f t="shared" si="11"/>
        <v>5</v>
      </c>
      <c r="AL10" s="29">
        <v>7</v>
      </c>
      <c r="AM10" s="42">
        <v>1</v>
      </c>
      <c r="AN10" s="30">
        <f t="shared" si="12"/>
        <v>3</v>
      </c>
      <c r="AO10" s="29">
        <v>18</v>
      </c>
      <c r="AP10" s="42">
        <v>18</v>
      </c>
      <c r="AQ10" s="30">
        <f t="shared" si="13"/>
        <v>5</v>
      </c>
      <c r="AR10" s="29">
        <v>10</v>
      </c>
      <c r="AS10" s="42">
        <v>10</v>
      </c>
      <c r="AT10" s="30">
        <f t="shared" si="14"/>
        <v>5</v>
      </c>
      <c r="AU10" s="40">
        <f t="shared" si="15"/>
        <v>86</v>
      </c>
      <c r="AV10" s="30">
        <f t="shared" si="16"/>
        <v>5</v>
      </c>
      <c r="AW10" s="40">
        <f t="shared" si="17"/>
        <v>166</v>
      </c>
      <c r="AX10" s="41"/>
      <c r="AY10" s="3" t="s">
        <v>83</v>
      </c>
      <c r="AZ10" s="31">
        <v>11.5</v>
      </c>
      <c r="BA10" s="344">
        <v>1</v>
      </c>
      <c r="BB10" s="30">
        <v>3</v>
      </c>
      <c r="BC10" s="31">
        <v>20.170000000000002</v>
      </c>
      <c r="BD10" s="344">
        <v>0</v>
      </c>
      <c r="BE10" s="30">
        <f>IF(BC10=0,"",IF(BC10&gt;16.4,2,IF(AND(BC10&lt;=16.4,BC10&gt;15.5),3,IF(AND(BC10&lt;=15.5,BC10&gt;15),4,IF(AND(BC10&lt;=15),5)))))</f>
        <v>2</v>
      </c>
      <c r="BF10" s="31">
        <v>18</v>
      </c>
      <c r="BG10" s="344">
        <v>18</v>
      </c>
      <c r="BH10" s="30">
        <f t="shared" si="18"/>
        <v>5</v>
      </c>
      <c r="BI10" s="31">
        <v>13.200000000000001</v>
      </c>
      <c r="BJ10" s="344">
        <v>19</v>
      </c>
      <c r="BK10" s="30">
        <f t="shared" si="19"/>
        <v>5</v>
      </c>
      <c r="BL10" s="31">
        <v>5</v>
      </c>
      <c r="BM10" s="344">
        <v>12</v>
      </c>
      <c r="BN10" s="30">
        <f t="shared" si="20"/>
        <v>5</v>
      </c>
      <c r="BO10" s="40">
        <f t="shared" si="21"/>
        <v>50</v>
      </c>
      <c r="BP10" s="30">
        <f t="shared" si="0"/>
        <v>5</v>
      </c>
      <c r="BQ10" s="40">
        <f t="shared" si="22"/>
        <v>216</v>
      </c>
      <c r="BR10" s="41"/>
      <c r="BS10" s="31">
        <v>9.6999999999999993</v>
      </c>
      <c r="BT10" s="344">
        <v>17</v>
      </c>
      <c r="BU10" s="30">
        <f t="shared" si="23"/>
        <v>5</v>
      </c>
      <c r="BV10" s="31">
        <v>11.28</v>
      </c>
      <c r="BW10" s="344">
        <v>0</v>
      </c>
      <c r="BX10" s="30">
        <f t="shared" si="24"/>
        <v>2</v>
      </c>
      <c r="BY10" s="31">
        <v>25</v>
      </c>
      <c r="BZ10" s="344">
        <v>15</v>
      </c>
      <c r="CA10" s="30">
        <f t="shared" si="25"/>
        <v>5</v>
      </c>
      <c r="CB10" s="31">
        <v>10</v>
      </c>
      <c r="CC10" s="344">
        <v>20</v>
      </c>
      <c r="CD10" s="30">
        <f t="shared" si="26"/>
        <v>5</v>
      </c>
      <c r="CE10" s="40">
        <f t="shared" si="27"/>
        <v>52</v>
      </c>
      <c r="CF10" s="30">
        <f t="shared" si="28"/>
        <v>5</v>
      </c>
      <c r="CG10" s="40">
        <f t="shared" si="29"/>
        <v>268</v>
      </c>
      <c r="CH10" s="41"/>
      <c r="CI10" s="3" t="s">
        <v>83</v>
      </c>
    </row>
    <row r="11" spans="1:87">
      <c r="A11" s="3"/>
      <c r="B11" s="32" t="s">
        <v>84</v>
      </c>
      <c r="C11" s="48">
        <v>35607</v>
      </c>
      <c r="D11" s="47" t="s">
        <v>19</v>
      </c>
      <c r="E11" s="3">
        <v>137</v>
      </c>
      <c r="F11" s="3">
        <v>32</v>
      </c>
      <c r="G11" s="32">
        <v>66</v>
      </c>
      <c r="H11" s="3">
        <v>1.1499999999999999</v>
      </c>
      <c r="I11" s="44">
        <f t="shared" si="1"/>
        <v>17.049389951515796</v>
      </c>
      <c r="J11" s="43" t="s">
        <v>26</v>
      </c>
      <c r="K11" s="32">
        <f t="shared" si="2"/>
        <v>94.762845849802389</v>
      </c>
      <c r="L11" s="32" t="s">
        <v>84</v>
      </c>
      <c r="M11" s="32">
        <v>145</v>
      </c>
      <c r="N11" s="40">
        <v>8</v>
      </c>
      <c r="O11" s="30">
        <f t="shared" si="3"/>
        <v>4</v>
      </c>
      <c r="P11" s="32">
        <v>5.2</v>
      </c>
      <c r="Q11" s="40">
        <v>20</v>
      </c>
      <c r="R11" s="30">
        <f t="shared" si="4"/>
        <v>5</v>
      </c>
      <c r="S11" s="32">
        <v>11.5</v>
      </c>
      <c r="T11" s="40">
        <v>9</v>
      </c>
      <c r="U11" s="30">
        <f t="shared" si="5"/>
        <v>4</v>
      </c>
      <c r="V11" s="32">
        <v>1200</v>
      </c>
      <c r="W11" s="40">
        <v>15</v>
      </c>
      <c r="X11" s="30">
        <f t="shared" si="6"/>
        <v>5</v>
      </c>
      <c r="Y11" s="40">
        <f t="shared" si="7"/>
        <v>52</v>
      </c>
      <c r="Z11" s="30">
        <f t="shared" si="8"/>
        <v>5</v>
      </c>
      <c r="AA11" s="41"/>
      <c r="AB11" s="32" t="s">
        <v>84</v>
      </c>
      <c r="AC11" s="29">
        <v>42</v>
      </c>
      <c r="AD11" s="42">
        <v>20</v>
      </c>
      <c r="AE11" s="30">
        <f t="shared" si="9"/>
        <v>5</v>
      </c>
      <c r="AF11" s="29">
        <v>9</v>
      </c>
      <c r="AG11" s="42">
        <v>5</v>
      </c>
      <c r="AH11" s="30">
        <f t="shared" si="10"/>
        <v>4</v>
      </c>
      <c r="AI11" s="29">
        <v>126</v>
      </c>
      <c r="AJ11" s="42">
        <v>19</v>
      </c>
      <c r="AK11" s="30">
        <f t="shared" si="11"/>
        <v>5</v>
      </c>
      <c r="AL11" s="29">
        <v>16</v>
      </c>
      <c r="AM11" s="42">
        <v>20</v>
      </c>
      <c r="AN11" s="30">
        <f t="shared" si="12"/>
        <v>5</v>
      </c>
      <c r="AO11" s="29">
        <v>15</v>
      </c>
      <c r="AP11" s="42">
        <v>15</v>
      </c>
      <c r="AQ11" s="30">
        <f t="shared" si="13"/>
        <v>5</v>
      </c>
      <c r="AR11" s="29">
        <v>10</v>
      </c>
      <c r="AS11" s="42">
        <v>10</v>
      </c>
      <c r="AT11" s="30">
        <f t="shared" si="14"/>
        <v>5</v>
      </c>
      <c r="AU11" s="40">
        <f t="shared" si="15"/>
        <v>89</v>
      </c>
      <c r="AV11" s="30">
        <f t="shared" si="16"/>
        <v>5</v>
      </c>
      <c r="AW11" s="40">
        <f t="shared" si="17"/>
        <v>141</v>
      </c>
      <c r="AX11" s="41"/>
      <c r="AY11" s="32" t="s">
        <v>84</v>
      </c>
      <c r="AZ11" s="31">
        <v>11.41</v>
      </c>
      <c r="BA11" s="344">
        <v>5</v>
      </c>
      <c r="BB11" s="30">
        <v>4</v>
      </c>
      <c r="BC11" s="31">
        <v>22.45</v>
      </c>
      <c r="BD11" s="344">
        <v>5</v>
      </c>
      <c r="BE11" s="30">
        <v>4</v>
      </c>
      <c r="BF11" s="31">
        <v>20</v>
      </c>
      <c r="BG11" s="344">
        <v>20</v>
      </c>
      <c r="BH11" s="30">
        <f t="shared" si="18"/>
        <v>5</v>
      </c>
      <c r="BI11" s="31">
        <v>15.9</v>
      </c>
      <c r="BJ11" s="344">
        <v>10</v>
      </c>
      <c r="BK11" s="30">
        <f t="shared" si="19"/>
        <v>5</v>
      </c>
      <c r="BL11" s="31">
        <v>8</v>
      </c>
      <c r="BM11" s="344">
        <v>18</v>
      </c>
      <c r="BN11" s="30">
        <f t="shared" si="20"/>
        <v>5</v>
      </c>
      <c r="BO11" s="40">
        <f t="shared" si="21"/>
        <v>58</v>
      </c>
      <c r="BP11" s="30">
        <f t="shared" si="0"/>
        <v>5</v>
      </c>
      <c r="BQ11" s="40">
        <f t="shared" si="22"/>
        <v>199</v>
      </c>
      <c r="BR11" s="41"/>
      <c r="BS11" s="31">
        <v>10.199999999999999</v>
      </c>
      <c r="BT11" s="344">
        <v>12</v>
      </c>
      <c r="BU11" s="30">
        <f t="shared" si="23"/>
        <v>5</v>
      </c>
      <c r="BV11" s="31">
        <v>9.4</v>
      </c>
      <c r="BW11" s="344">
        <v>5</v>
      </c>
      <c r="BX11" s="30">
        <f t="shared" si="24"/>
        <v>4</v>
      </c>
      <c r="BY11" s="31">
        <v>20</v>
      </c>
      <c r="BZ11" s="344">
        <v>9</v>
      </c>
      <c r="CA11" s="30">
        <f t="shared" si="25"/>
        <v>4</v>
      </c>
      <c r="CB11" s="31">
        <v>20</v>
      </c>
      <c r="CC11" s="344">
        <v>20</v>
      </c>
      <c r="CD11" s="30">
        <f t="shared" si="26"/>
        <v>5</v>
      </c>
      <c r="CE11" s="40">
        <f t="shared" si="27"/>
        <v>46</v>
      </c>
      <c r="CF11" s="30">
        <f t="shared" si="28"/>
        <v>5</v>
      </c>
      <c r="CG11" s="40">
        <f t="shared" si="29"/>
        <v>245</v>
      </c>
      <c r="CH11" s="41"/>
      <c r="CI11" s="32" t="s">
        <v>84</v>
      </c>
    </row>
    <row r="12" spans="1:87">
      <c r="A12" s="3"/>
      <c r="B12" s="32" t="s">
        <v>85</v>
      </c>
      <c r="C12" s="48">
        <v>35887</v>
      </c>
      <c r="D12" s="47" t="s">
        <v>19</v>
      </c>
      <c r="E12" s="3">
        <v>154</v>
      </c>
      <c r="F12" s="3">
        <v>40</v>
      </c>
      <c r="G12" s="45">
        <v>66</v>
      </c>
      <c r="H12" s="3">
        <v>1.117</v>
      </c>
      <c r="I12" s="44">
        <f t="shared" si="1"/>
        <v>16.866250632484398</v>
      </c>
      <c r="J12" s="43" t="s">
        <v>26</v>
      </c>
      <c r="K12" s="32">
        <f t="shared" si="2"/>
        <v>119.06893464637423</v>
      </c>
      <c r="L12" s="32" t="s">
        <v>85</v>
      </c>
      <c r="M12" s="32">
        <v>151</v>
      </c>
      <c r="N12" s="40">
        <v>11</v>
      </c>
      <c r="O12" s="30">
        <f t="shared" si="3"/>
        <v>5</v>
      </c>
      <c r="P12" s="32">
        <v>5.5</v>
      </c>
      <c r="Q12" s="40">
        <v>16</v>
      </c>
      <c r="R12" s="30">
        <f t="shared" si="4"/>
        <v>5</v>
      </c>
      <c r="S12" s="32">
        <v>11.1</v>
      </c>
      <c r="T12" s="40">
        <v>18</v>
      </c>
      <c r="U12" s="30">
        <f t="shared" si="5"/>
        <v>5</v>
      </c>
      <c r="V12" s="32">
        <v>1260</v>
      </c>
      <c r="W12" s="40">
        <v>20</v>
      </c>
      <c r="X12" s="30">
        <f t="shared" si="6"/>
        <v>5</v>
      </c>
      <c r="Y12" s="40">
        <f t="shared" si="7"/>
        <v>65</v>
      </c>
      <c r="Z12" s="30">
        <f t="shared" si="8"/>
        <v>5</v>
      </c>
      <c r="AA12" s="223">
        <v>5</v>
      </c>
      <c r="AB12" s="32" t="s">
        <v>85</v>
      </c>
      <c r="AC12" s="29">
        <v>32</v>
      </c>
      <c r="AD12" s="42">
        <v>17</v>
      </c>
      <c r="AE12" s="30">
        <f t="shared" si="9"/>
        <v>5</v>
      </c>
      <c r="AF12" s="29">
        <v>15</v>
      </c>
      <c r="AG12" s="42">
        <v>20</v>
      </c>
      <c r="AH12" s="30">
        <f t="shared" si="10"/>
        <v>5</v>
      </c>
      <c r="AI12" s="29">
        <v>105</v>
      </c>
      <c r="AJ12" s="42">
        <v>15</v>
      </c>
      <c r="AK12" s="30">
        <f t="shared" si="11"/>
        <v>5</v>
      </c>
      <c r="AL12" s="29">
        <v>6</v>
      </c>
      <c r="AM12" s="42">
        <v>0</v>
      </c>
      <c r="AN12" s="30">
        <f t="shared" si="12"/>
        <v>2</v>
      </c>
      <c r="AO12" s="29">
        <v>9</v>
      </c>
      <c r="AP12" s="42">
        <v>9</v>
      </c>
      <c r="AQ12" s="30">
        <f t="shared" si="13"/>
        <v>4</v>
      </c>
      <c r="AR12" s="29">
        <v>10</v>
      </c>
      <c r="AS12" s="42">
        <v>10</v>
      </c>
      <c r="AT12" s="30">
        <f t="shared" si="14"/>
        <v>5</v>
      </c>
      <c r="AU12" s="40">
        <f t="shared" si="15"/>
        <v>71</v>
      </c>
      <c r="AV12" s="30">
        <f t="shared" si="16"/>
        <v>5</v>
      </c>
      <c r="AW12" s="40">
        <f t="shared" si="17"/>
        <v>136</v>
      </c>
      <c r="AX12" s="41"/>
      <c r="AY12" s="32" t="s">
        <v>85</v>
      </c>
      <c r="AZ12" s="31">
        <v>8.48</v>
      </c>
      <c r="BA12" s="344">
        <v>5</v>
      </c>
      <c r="BB12" s="30">
        <v>4</v>
      </c>
      <c r="BC12" s="31">
        <v>19.079999999999998</v>
      </c>
      <c r="BD12" s="344">
        <v>5</v>
      </c>
      <c r="BE12" s="30">
        <v>4</v>
      </c>
      <c r="BF12" s="31">
        <v>16</v>
      </c>
      <c r="BG12" s="344">
        <v>16</v>
      </c>
      <c r="BH12" s="30">
        <f t="shared" si="18"/>
        <v>5</v>
      </c>
      <c r="BI12" s="31">
        <v>14.3</v>
      </c>
      <c r="BJ12" s="344">
        <v>15</v>
      </c>
      <c r="BK12" s="30">
        <f t="shared" si="19"/>
        <v>5</v>
      </c>
      <c r="BL12" s="31">
        <v>5</v>
      </c>
      <c r="BM12" s="344">
        <v>12</v>
      </c>
      <c r="BN12" s="30">
        <f t="shared" si="20"/>
        <v>5</v>
      </c>
      <c r="BO12" s="40">
        <f t="shared" si="21"/>
        <v>53</v>
      </c>
      <c r="BP12" s="30">
        <f t="shared" si="0"/>
        <v>5</v>
      </c>
      <c r="BQ12" s="40">
        <f t="shared" si="22"/>
        <v>189</v>
      </c>
      <c r="BR12" s="41"/>
      <c r="BS12" s="31">
        <v>9.5</v>
      </c>
      <c r="BT12" s="344">
        <v>19</v>
      </c>
      <c r="BU12" s="30">
        <f t="shared" si="23"/>
        <v>5</v>
      </c>
      <c r="BV12" s="31">
        <v>9.06</v>
      </c>
      <c r="BW12" s="344">
        <v>8</v>
      </c>
      <c r="BX12" s="30">
        <f t="shared" si="24"/>
        <v>4</v>
      </c>
      <c r="BY12" s="31">
        <v>20</v>
      </c>
      <c r="BZ12" s="344">
        <v>9</v>
      </c>
      <c r="CA12" s="30">
        <f t="shared" si="25"/>
        <v>4</v>
      </c>
      <c r="CB12" s="31">
        <v>5</v>
      </c>
      <c r="CC12" s="344">
        <v>10</v>
      </c>
      <c r="CD12" s="30">
        <f t="shared" si="26"/>
        <v>5</v>
      </c>
      <c r="CE12" s="40">
        <f t="shared" si="27"/>
        <v>46</v>
      </c>
      <c r="CF12" s="30">
        <f t="shared" si="28"/>
        <v>5</v>
      </c>
      <c r="CG12" s="40">
        <f t="shared" si="29"/>
        <v>235</v>
      </c>
      <c r="CH12" s="41"/>
      <c r="CI12" s="32" t="s">
        <v>85</v>
      </c>
    </row>
    <row r="13" spans="1:87">
      <c r="A13" s="3"/>
      <c r="B13" s="32" t="s">
        <v>86</v>
      </c>
      <c r="C13" s="48">
        <v>35887</v>
      </c>
      <c r="D13" s="47" t="s">
        <v>19</v>
      </c>
      <c r="E13" s="3">
        <v>153</v>
      </c>
      <c r="F13" s="3">
        <v>42</v>
      </c>
      <c r="G13" s="45">
        <v>65</v>
      </c>
      <c r="H13" s="3">
        <v>1.117</v>
      </c>
      <c r="I13" s="44">
        <f t="shared" si="1"/>
        <v>17.941817249775728</v>
      </c>
      <c r="J13" s="43" t="s">
        <v>26</v>
      </c>
      <c r="K13" s="32">
        <f t="shared" si="2"/>
        <v>116.95475518214998</v>
      </c>
      <c r="L13" s="32" t="s">
        <v>86</v>
      </c>
      <c r="M13" s="32">
        <v>161</v>
      </c>
      <c r="N13" s="40">
        <v>20</v>
      </c>
      <c r="O13" s="30">
        <f t="shared" si="3"/>
        <v>5</v>
      </c>
      <c r="P13" s="32">
        <v>5.6000000000000005</v>
      </c>
      <c r="Q13" s="40">
        <v>14</v>
      </c>
      <c r="R13" s="30">
        <f t="shared" si="4"/>
        <v>5</v>
      </c>
      <c r="S13" s="32">
        <v>11.4</v>
      </c>
      <c r="T13" s="40">
        <v>10</v>
      </c>
      <c r="U13" s="30">
        <f t="shared" si="5"/>
        <v>5</v>
      </c>
      <c r="V13" s="32">
        <v>1250</v>
      </c>
      <c r="W13" s="40">
        <v>20</v>
      </c>
      <c r="X13" s="30">
        <f t="shared" si="6"/>
        <v>5</v>
      </c>
      <c r="Y13" s="40">
        <f t="shared" si="7"/>
        <v>64</v>
      </c>
      <c r="Z13" s="30">
        <f t="shared" si="8"/>
        <v>5</v>
      </c>
      <c r="AA13" s="223">
        <v>5</v>
      </c>
      <c r="AB13" s="32" t="s">
        <v>86</v>
      </c>
      <c r="AC13" s="29">
        <v>31</v>
      </c>
      <c r="AD13" s="42">
        <v>16</v>
      </c>
      <c r="AE13" s="30">
        <f t="shared" si="9"/>
        <v>5</v>
      </c>
      <c r="AF13" s="29">
        <v>12</v>
      </c>
      <c r="AG13" s="42">
        <v>10</v>
      </c>
      <c r="AH13" s="30">
        <f t="shared" si="10"/>
        <v>5</v>
      </c>
      <c r="AI13" s="29">
        <v>109</v>
      </c>
      <c r="AJ13" s="42">
        <v>15</v>
      </c>
      <c r="AK13" s="30">
        <f t="shared" si="11"/>
        <v>5</v>
      </c>
      <c r="AL13" s="29">
        <v>4</v>
      </c>
      <c r="AM13" s="42">
        <v>0</v>
      </c>
      <c r="AN13" s="30">
        <f t="shared" si="12"/>
        <v>2</v>
      </c>
      <c r="AO13" s="29">
        <v>11</v>
      </c>
      <c r="AP13" s="42">
        <v>11</v>
      </c>
      <c r="AQ13" s="30">
        <f t="shared" si="13"/>
        <v>5</v>
      </c>
      <c r="AR13" s="29">
        <v>10</v>
      </c>
      <c r="AS13" s="42">
        <v>10</v>
      </c>
      <c r="AT13" s="30">
        <f t="shared" si="14"/>
        <v>5</v>
      </c>
      <c r="AU13" s="40">
        <f t="shared" si="15"/>
        <v>62</v>
      </c>
      <c r="AV13" s="30">
        <f t="shared" si="16"/>
        <v>5</v>
      </c>
      <c r="AW13" s="40">
        <f t="shared" si="17"/>
        <v>126</v>
      </c>
      <c r="AX13" s="41"/>
      <c r="AY13" s="32" t="s">
        <v>86</v>
      </c>
      <c r="AZ13" s="31">
        <v>7.54</v>
      </c>
      <c r="BA13" s="344">
        <v>10</v>
      </c>
      <c r="BB13" s="30">
        <v>5</v>
      </c>
      <c r="BC13" s="31">
        <v>18.149999999999999</v>
      </c>
      <c r="BD13" s="344">
        <v>5</v>
      </c>
      <c r="BE13" s="30">
        <v>4</v>
      </c>
      <c r="BF13" s="31">
        <v>20</v>
      </c>
      <c r="BG13" s="344">
        <v>20</v>
      </c>
      <c r="BH13" s="30">
        <f t="shared" si="18"/>
        <v>5</v>
      </c>
      <c r="BI13" s="31">
        <v>14.700000000000001</v>
      </c>
      <c r="BJ13" s="344">
        <v>14</v>
      </c>
      <c r="BK13" s="30">
        <f t="shared" si="19"/>
        <v>5</v>
      </c>
      <c r="BL13" s="31">
        <v>5</v>
      </c>
      <c r="BM13" s="344">
        <v>12</v>
      </c>
      <c r="BN13" s="30">
        <f t="shared" si="20"/>
        <v>5</v>
      </c>
      <c r="BO13" s="40">
        <f t="shared" si="21"/>
        <v>61</v>
      </c>
      <c r="BP13" s="30">
        <f t="shared" si="0"/>
        <v>5</v>
      </c>
      <c r="BQ13" s="40">
        <f t="shared" si="22"/>
        <v>187</v>
      </c>
      <c r="BR13" s="41"/>
      <c r="BS13" s="31">
        <v>10.199999999999999</v>
      </c>
      <c r="BT13" s="344">
        <v>12</v>
      </c>
      <c r="BU13" s="30">
        <f t="shared" si="23"/>
        <v>5</v>
      </c>
      <c r="BV13" s="31">
        <v>9.06</v>
      </c>
      <c r="BW13" s="344">
        <v>8</v>
      </c>
      <c r="BX13" s="30">
        <f t="shared" si="24"/>
        <v>4</v>
      </c>
      <c r="BY13" s="31">
        <v>23</v>
      </c>
      <c r="BZ13" s="344">
        <v>13</v>
      </c>
      <c r="CA13" s="30">
        <f t="shared" si="25"/>
        <v>5</v>
      </c>
      <c r="CB13" s="31">
        <v>1</v>
      </c>
      <c r="CC13" s="344">
        <v>1</v>
      </c>
      <c r="CD13" s="30">
        <f t="shared" si="26"/>
        <v>3</v>
      </c>
      <c r="CE13" s="40">
        <f t="shared" si="27"/>
        <v>34</v>
      </c>
      <c r="CF13" s="30">
        <f t="shared" si="28"/>
        <v>5</v>
      </c>
      <c r="CG13" s="40">
        <f t="shared" si="29"/>
        <v>221</v>
      </c>
      <c r="CH13" s="41"/>
      <c r="CI13" s="32" t="s">
        <v>86</v>
      </c>
    </row>
    <row r="14" spans="1:87">
      <c r="A14" s="3"/>
      <c r="B14" s="32" t="s">
        <v>87</v>
      </c>
      <c r="C14" s="48">
        <v>35758</v>
      </c>
      <c r="D14" s="47" t="s">
        <v>77</v>
      </c>
      <c r="E14" s="32">
        <v>139</v>
      </c>
      <c r="F14" s="32">
        <v>30</v>
      </c>
      <c r="G14" s="32">
        <v>69</v>
      </c>
      <c r="H14" s="3">
        <v>1.1499999999999999</v>
      </c>
      <c r="I14" s="44">
        <f t="shared" si="1"/>
        <v>15.527146628021326</v>
      </c>
      <c r="J14" s="43" t="s">
        <v>30</v>
      </c>
      <c r="K14" s="32">
        <f t="shared" si="2"/>
        <v>95.46943919344676</v>
      </c>
      <c r="L14" s="32" t="s">
        <v>87</v>
      </c>
      <c r="M14" s="32">
        <v>156</v>
      </c>
      <c r="N14" s="40">
        <v>16</v>
      </c>
      <c r="O14" s="30">
        <f t="shared" si="3"/>
        <v>5</v>
      </c>
      <c r="P14" s="32">
        <v>5.8</v>
      </c>
      <c r="Q14" s="40">
        <v>10</v>
      </c>
      <c r="R14" s="30">
        <f t="shared" si="4"/>
        <v>5</v>
      </c>
      <c r="S14" s="32">
        <v>11.200000000000001</v>
      </c>
      <c r="T14" s="40">
        <v>15</v>
      </c>
      <c r="U14" s="98">
        <f t="shared" si="5"/>
        <v>5</v>
      </c>
      <c r="V14" s="32">
        <v>1285</v>
      </c>
      <c r="W14" s="40">
        <v>20</v>
      </c>
      <c r="X14" s="30">
        <f t="shared" si="6"/>
        <v>5</v>
      </c>
      <c r="Y14" s="40">
        <f t="shared" si="7"/>
        <v>61</v>
      </c>
      <c r="Z14" s="30">
        <f t="shared" si="8"/>
        <v>5</v>
      </c>
      <c r="AA14" s="223">
        <v>5</v>
      </c>
      <c r="AB14" s="32" t="s">
        <v>87</v>
      </c>
      <c r="AC14" s="29">
        <v>31</v>
      </c>
      <c r="AD14" s="42">
        <v>16</v>
      </c>
      <c r="AE14" s="30">
        <f t="shared" si="9"/>
        <v>5</v>
      </c>
      <c r="AF14" s="29">
        <v>11</v>
      </c>
      <c r="AG14" s="42">
        <v>9</v>
      </c>
      <c r="AH14" s="30">
        <f t="shared" si="10"/>
        <v>4</v>
      </c>
      <c r="AI14" s="29">
        <v>104</v>
      </c>
      <c r="AJ14" s="42">
        <v>15</v>
      </c>
      <c r="AK14" s="30">
        <f t="shared" si="11"/>
        <v>5</v>
      </c>
      <c r="AL14" s="29">
        <v>11</v>
      </c>
      <c r="AM14" s="42">
        <v>10</v>
      </c>
      <c r="AN14" s="30">
        <f t="shared" si="12"/>
        <v>5</v>
      </c>
      <c r="AO14" s="29">
        <v>15</v>
      </c>
      <c r="AP14" s="42">
        <v>15</v>
      </c>
      <c r="AQ14" s="30">
        <f t="shared" si="13"/>
        <v>5</v>
      </c>
      <c r="AR14" s="29">
        <v>10</v>
      </c>
      <c r="AS14" s="42">
        <v>10</v>
      </c>
      <c r="AT14" s="30">
        <f t="shared" si="14"/>
        <v>5</v>
      </c>
      <c r="AU14" s="40">
        <f t="shared" si="15"/>
        <v>75</v>
      </c>
      <c r="AV14" s="30">
        <f t="shared" si="16"/>
        <v>5</v>
      </c>
      <c r="AW14" s="40">
        <f t="shared" si="17"/>
        <v>136</v>
      </c>
      <c r="AX14" s="41"/>
      <c r="AY14" s="32" t="s">
        <v>87</v>
      </c>
      <c r="AZ14" s="31">
        <v>11.19</v>
      </c>
      <c r="BA14" s="344">
        <v>0</v>
      </c>
      <c r="BB14" s="30">
        <f>IF(AZ14=0,"",IF(AZ14&gt;8.1,2,IF(AND(AZ14&lt;=8.1,AZ14&gt;7.3),3,IF(AND(AZ14&lt;=7.3,AZ14&gt;7),4,IF(AND(AZ14&lt;=7),5)))))</f>
        <v>2</v>
      </c>
      <c r="BC14" s="31">
        <v>25.14</v>
      </c>
      <c r="BD14" s="344">
        <v>0</v>
      </c>
      <c r="BE14" s="30">
        <f>IF(BC14=0,"",IF(BC14&gt;16.4,2,IF(AND(BC14&lt;=16.4,BC14&gt;15.5),3,IF(AND(BC14&lt;=15.5,BC14&gt;15),4,IF(AND(BC14&lt;=15),5)))))</f>
        <v>2</v>
      </c>
      <c r="BF14" s="31">
        <v>20</v>
      </c>
      <c r="BG14" s="344">
        <v>20</v>
      </c>
      <c r="BH14" s="30">
        <f t="shared" si="18"/>
        <v>5</v>
      </c>
      <c r="BI14" s="31">
        <v>14.3</v>
      </c>
      <c r="BJ14" s="344">
        <v>15</v>
      </c>
      <c r="BK14" s="30">
        <f t="shared" si="19"/>
        <v>5</v>
      </c>
      <c r="BL14" s="31">
        <v>4</v>
      </c>
      <c r="BM14" s="344">
        <v>10</v>
      </c>
      <c r="BN14" s="30">
        <f t="shared" si="20"/>
        <v>5</v>
      </c>
      <c r="BO14" s="40">
        <f t="shared" si="21"/>
        <v>45</v>
      </c>
      <c r="BP14" s="30">
        <f t="shared" si="0"/>
        <v>5</v>
      </c>
      <c r="BQ14" s="40">
        <f t="shared" si="22"/>
        <v>181</v>
      </c>
      <c r="BR14" s="41"/>
      <c r="BS14" s="31">
        <v>10.3</v>
      </c>
      <c r="BT14" s="344">
        <v>11</v>
      </c>
      <c r="BU14" s="30">
        <f t="shared" si="23"/>
        <v>5</v>
      </c>
      <c r="BV14" s="31">
        <v>11.47</v>
      </c>
      <c r="BW14" s="344">
        <v>0</v>
      </c>
      <c r="BX14" s="30">
        <f t="shared" si="24"/>
        <v>2</v>
      </c>
      <c r="BY14" s="31">
        <v>12</v>
      </c>
      <c r="BZ14" s="344">
        <v>0</v>
      </c>
      <c r="CA14" s="30">
        <f t="shared" si="25"/>
        <v>2</v>
      </c>
      <c r="CB14" s="31">
        <v>5</v>
      </c>
      <c r="CC14" s="344">
        <v>10</v>
      </c>
      <c r="CD14" s="30">
        <f t="shared" si="26"/>
        <v>5</v>
      </c>
      <c r="CE14" s="40">
        <f t="shared" si="27"/>
        <v>21</v>
      </c>
      <c r="CF14" s="30">
        <f t="shared" si="28"/>
        <v>4</v>
      </c>
      <c r="CG14" s="40">
        <f t="shared" si="29"/>
        <v>202</v>
      </c>
      <c r="CH14" s="41"/>
      <c r="CI14" s="32" t="s">
        <v>87</v>
      </c>
    </row>
    <row r="15" spans="1:87">
      <c r="A15" s="3"/>
      <c r="B15" s="32" t="s">
        <v>88</v>
      </c>
      <c r="C15" s="48">
        <v>35744</v>
      </c>
      <c r="D15" s="47" t="s">
        <v>19</v>
      </c>
      <c r="E15" s="32">
        <v>140</v>
      </c>
      <c r="F15" s="32">
        <v>31</v>
      </c>
      <c r="G15" s="32">
        <v>63</v>
      </c>
      <c r="H15" s="3">
        <v>1.1499999999999999</v>
      </c>
      <c r="I15" s="44">
        <f t="shared" si="1"/>
        <v>15.816326530612248</v>
      </c>
      <c r="J15" s="43" t="s">
        <v>30</v>
      </c>
      <c r="K15" s="32">
        <f t="shared" si="2"/>
        <v>105.31400966183577</v>
      </c>
      <c r="L15" s="32" t="s">
        <v>88</v>
      </c>
      <c r="M15" s="32">
        <v>145</v>
      </c>
      <c r="N15" s="40">
        <v>8</v>
      </c>
      <c r="O15" s="30">
        <f t="shared" si="3"/>
        <v>4</v>
      </c>
      <c r="P15" s="32">
        <v>5.5</v>
      </c>
      <c r="Q15" s="40">
        <v>16</v>
      </c>
      <c r="R15" s="30">
        <f t="shared" si="4"/>
        <v>5</v>
      </c>
      <c r="S15" s="32">
        <v>11.8</v>
      </c>
      <c r="T15" s="40">
        <v>5</v>
      </c>
      <c r="U15" s="30">
        <f t="shared" si="5"/>
        <v>4</v>
      </c>
      <c r="V15" s="32">
        <v>1250</v>
      </c>
      <c r="W15" s="40">
        <v>20</v>
      </c>
      <c r="X15" s="30">
        <f t="shared" si="6"/>
        <v>5</v>
      </c>
      <c r="Y15" s="40">
        <f t="shared" si="7"/>
        <v>49</v>
      </c>
      <c r="Z15" s="30">
        <f t="shared" si="8"/>
        <v>5</v>
      </c>
      <c r="AA15" s="41"/>
      <c r="AB15" s="32" t="s">
        <v>88</v>
      </c>
      <c r="AC15" s="29">
        <v>40</v>
      </c>
      <c r="AD15" s="42">
        <v>20</v>
      </c>
      <c r="AE15" s="30">
        <f t="shared" si="9"/>
        <v>5</v>
      </c>
      <c r="AF15" s="29">
        <v>11</v>
      </c>
      <c r="AG15" s="42">
        <v>9</v>
      </c>
      <c r="AH15" s="30">
        <f t="shared" si="10"/>
        <v>4</v>
      </c>
      <c r="AI15" s="29">
        <v>48</v>
      </c>
      <c r="AJ15" s="42">
        <v>4</v>
      </c>
      <c r="AK15" s="30">
        <f t="shared" si="11"/>
        <v>3</v>
      </c>
      <c r="AL15" s="29">
        <v>11</v>
      </c>
      <c r="AM15" s="42">
        <v>10</v>
      </c>
      <c r="AN15" s="30">
        <f t="shared" si="12"/>
        <v>5</v>
      </c>
      <c r="AO15" s="29">
        <v>10</v>
      </c>
      <c r="AP15" s="42">
        <v>10</v>
      </c>
      <c r="AQ15" s="30">
        <f t="shared" si="13"/>
        <v>5</v>
      </c>
      <c r="AR15" s="29">
        <v>10</v>
      </c>
      <c r="AS15" s="42">
        <v>10</v>
      </c>
      <c r="AT15" s="30">
        <f t="shared" si="14"/>
        <v>5</v>
      </c>
      <c r="AU15" s="40">
        <f t="shared" si="15"/>
        <v>63</v>
      </c>
      <c r="AV15" s="30">
        <f t="shared" si="16"/>
        <v>5</v>
      </c>
      <c r="AW15" s="40">
        <f t="shared" si="17"/>
        <v>112</v>
      </c>
      <c r="AX15" s="41"/>
      <c r="AY15" s="32" t="s">
        <v>88</v>
      </c>
      <c r="AZ15" s="31">
        <v>11.19</v>
      </c>
      <c r="BA15" s="344">
        <v>1</v>
      </c>
      <c r="BB15" s="30">
        <v>3</v>
      </c>
      <c r="BC15" s="31">
        <v>24.42</v>
      </c>
      <c r="BD15" s="344">
        <v>0</v>
      </c>
      <c r="BE15" s="30">
        <f>IF(BC15=0,"",IF(BC15&gt;16.4,2,IF(AND(BC15&lt;=16.4,BC15&gt;15.5),3,IF(AND(BC15&lt;=15.5,BC15&gt;15),4,IF(AND(BC15&lt;=15),5)))))</f>
        <v>2</v>
      </c>
      <c r="BF15" s="31">
        <v>7</v>
      </c>
      <c r="BG15" s="344">
        <v>3</v>
      </c>
      <c r="BH15" s="30">
        <f t="shared" si="18"/>
        <v>3</v>
      </c>
      <c r="BI15" s="31">
        <v>14.700000000000001</v>
      </c>
      <c r="BJ15" s="344">
        <v>14</v>
      </c>
      <c r="BK15" s="30">
        <f t="shared" si="19"/>
        <v>5</v>
      </c>
      <c r="BL15" s="31">
        <v>4</v>
      </c>
      <c r="BM15" s="344">
        <v>10</v>
      </c>
      <c r="BN15" s="30">
        <f t="shared" si="20"/>
        <v>5</v>
      </c>
      <c r="BO15" s="40">
        <f t="shared" si="21"/>
        <v>28</v>
      </c>
      <c r="BP15" s="30">
        <f t="shared" si="0"/>
        <v>4</v>
      </c>
      <c r="BQ15" s="40">
        <f t="shared" si="22"/>
        <v>140</v>
      </c>
      <c r="BR15" s="41"/>
      <c r="BS15" s="31">
        <v>10.700000000000001</v>
      </c>
      <c r="BT15" s="344">
        <v>7</v>
      </c>
      <c r="BU15" s="30">
        <f t="shared" si="23"/>
        <v>4</v>
      </c>
      <c r="BV15" s="31">
        <v>9.09</v>
      </c>
      <c r="BW15" s="344">
        <v>8</v>
      </c>
      <c r="BX15" s="30">
        <f t="shared" si="24"/>
        <v>4</v>
      </c>
      <c r="BY15" s="31">
        <v>15</v>
      </c>
      <c r="BZ15" s="344">
        <v>3</v>
      </c>
      <c r="CA15" s="30">
        <f t="shared" si="25"/>
        <v>3</v>
      </c>
      <c r="CB15" s="31">
        <v>20</v>
      </c>
      <c r="CC15" s="344">
        <v>20</v>
      </c>
      <c r="CD15" s="30">
        <f t="shared" si="26"/>
        <v>5</v>
      </c>
      <c r="CE15" s="40">
        <f t="shared" si="27"/>
        <v>38</v>
      </c>
      <c r="CF15" s="30">
        <f t="shared" si="28"/>
        <v>5</v>
      </c>
      <c r="CG15" s="40">
        <f t="shared" si="29"/>
        <v>178</v>
      </c>
      <c r="CH15" s="41"/>
      <c r="CI15" s="32" t="s">
        <v>88</v>
      </c>
    </row>
    <row r="16" spans="1:87">
      <c r="A16" s="3"/>
      <c r="B16" s="45" t="s">
        <v>89</v>
      </c>
      <c r="C16" s="99">
        <v>35697</v>
      </c>
      <c r="D16" s="47" t="s">
        <v>19</v>
      </c>
      <c r="E16" s="45">
        <v>143</v>
      </c>
      <c r="F16" s="45">
        <v>31</v>
      </c>
      <c r="G16" s="45">
        <v>61</v>
      </c>
      <c r="H16" s="3">
        <v>1.1499999999999999</v>
      </c>
      <c r="I16" s="44">
        <f t="shared" si="1"/>
        <v>15.159665509315861</v>
      </c>
      <c r="J16" s="43" t="s">
        <v>30</v>
      </c>
      <c r="K16" s="32">
        <f t="shared" si="2"/>
        <v>114.15538132573059</v>
      </c>
      <c r="L16" s="45" t="s">
        <v>89</v>
      </c>
      <c r="M16" s="45">
        <v>139</v>
      </c>
      <c r="N16" s="66">
        <v>5</v>
      </c>
      <c r="O16" s="30">
        <f t="shared" si="3"/>
        <v>4</v>
      </c>
      <c r="P16" s="45">
        <v>5.4</v>
      </c>
      <c r="Q16" s="66">
        <v>18</v>
      </c>
      <c r="R16" s="30">
        <f t="shared" si="4"/>
        <v>5</v>
      </c>
      <c r="S16" s="45">
        <v>12.200000000000001</v>
      </c>
      <c r="T16" s="66">
        <v>0</v>
      </c>
      <c r="U16" s="30">
        <f t="shared" si="5"/>
        <v>2</v>
      </c>
      <c r="V16" s="45">
        <v>1330</v>
      </c>
      <c r="W16" s="66">
        <v>20</v>
      </c>
      <c r="X16" s="30">
        <f t="shared" si="6"/>
        <v>5</v>
      </c>
      <c r="Y16" s="40">
        <f t="shared" si="7"/>
        <v>43</v>
      </c>
      <c r="Z16" s="30">
        <f t="shared" si="8"/>
        <v>5</v>
      </c>
      <c r="AA16" s="41"/>
      <c r="AB16" s="45" t="s">
        <v>89</v>
      </c>
      <c r="AC16" s="29">
        <v>36</v>
      </c>
      <c r="AD16" s="42">
        <v>20</v>
      </c>
      <c r="AE16" s="30">
        <f t="shared" si="9"/>
        <v>5</v>
      </c>
      <c r="AF16" s="29">
        <v>7</v>
      </c>
      <c r="AG16" s="42">
        <v>3</v>
      </c>
      <c r="AH16" s="30">
        <f t="shared" si="10"/>
        <v>3</v>
      </c>
      <c r="AI16" s="29">
        <v>139</v>
      </c>
      <c r="AJ16" s="42">
        <v>20</v>
      </c>
      <c r="AK16" s="30">
        <f t="shared" si="11"/>
        <v>5</v>
      </c>
      <c r="AL16" s="29">
        <v>2</v>
      </c>
      <c r="AM16" s="42">
        <v>0</v>
      </c>
      <c r="AN16" s="30">
        <f t="shared" si="12"/>
        <v>2</v>
      </c>
      <c r="AO16" s="29">
        <v>13</v>
      </c>
      <c r="AP16" s="42">
        <v>13</v>
      </c>
      <c r="AQ16" s="30">
        <f t="shared" si="13"/>
        <v>5</v>
      </c>
      <c r="AR16" s="29">
        <v>10</v>
      </c>
      <c r="AS16" s="42">
        <v>10</v>
      </c>
      <c r="AT16" s="30">
        <f t="shared" si="14"/>
        <v>5</v>
      </c>
      <c r="AU16" s="40">
        <f t="shared" si="15"/>
        <v>66</v>
      </c>
      <c r="AV16" s="30">
        <f t="shared" si="16"/>
        <v>5</v>
      </c>
      <c r="AW16" s="66">
        <f t="shared" si="17"/>
        <v>109</v>
      </c>
      <c r="AX16" s="41"/>
      <c r="AY16" s="45" t="s">
        <v>89</v>
      </c>
      <c r="AZ16" s="31">
        <v>13.01</v>
      </c>
      <c r="BA16" s="344">
        <v>5</v>
      </c>
      <c r="BB16" s="30">
        <v>4</v>
      </c>
      <c r="BC16" s="31">
        <v>20.170000000000002</v>
      </c>
      <c r="BD16" s="344">
        <v>1</v>
      </c>
      <c r="BE16" s="30">
        <v>3</v>
      </c>
      <c r="BF16" s="31">
        <v>14</v>
      </c>
      <c r="BG16" s="344">
        <v>14</v>
      </c>
      <c r="BH16" s="30">
        <f t="shared" si="18"/>
        <v>5</v>
      </c>
      <c r="BI16" s="31">
        <v>16.3</v>
      </c>
      <c r="BJ16" s="344">
        <v>8</v>
      </c>
      <c r="BK16" s="30">
        <f t="shared" si="19"/>
        <v>4</v>
      </c>
      <c r="BL16" s="31">
        <v>5</v>
      </c>
      <c r="BM16" s="344">
        <v>12</v>
      </c>
      <c r="BN16" s="30">
        <f t="shared" si="20"/>
        <v>5</v>
      </c>
      <c r="BO16" s="40">
        <f t="shared" si="21"/>
        <v>40</v>
      </c>
      <c r="BP16" s="33">
        <f t="shared" si="0"/>
        <v>5</v>
      </c>
      <c r="BQ16" s="66">
        <f t="shared" si="22"/>
        <v>149</v>
      </c>
      <c r="BR16" s="41"/>
      <c r="BS16" s="31">
        <v>10.8</v>
      </c>
      <c r="BT16" s="344">
        <v>5</v>
      </c>
      <c r="BU16" s="30">
        <f t="shared" si="23"/>
        <v>4</v>
      </c>
      <c r="BV16" s="31">
        <v>9.25</v>
      </c>
      <c r="BW16" s="344">
        <v>6</v>
      </c>
      <c r="BX16" s="30">
        <f t="shared" si="24"/>
        <v>4</v>
      </c>
      <c r="BY16" s="31">
        <v>21</v>
      </c>
      <c r="BZ16" s="344">
        <v>10</v>
      </c>
      <c r="CA16" s="30">
        <f t="shared" si="25"/>
        <v>5</v>
      </c>
      <c r="CB16" s="31">
        <v>1</v>
      </c>
      <c r="CC16" s="344">
        <v>0</v>
      </c>
      <c r="CD16" s="30">
        <f t="shared" si="26"/>
        <v>3</v>
      </c>
      <c r="CE16" s="40">
        <f t="shared" si="27"/>
        <v>21</v>
      </c>
      <c r="CF16" s="30">
        <f t="shared" si="28"/>
        <v>4</v>
      </c>
      <c r="CG16" s="66">
        <f t="shared" si="29"/>
        <v>170</v>
      </c>
      <c r="CH16" s="41"/>
      <c r="CI16" s="45" t="s">
        <v>89</v>
      </c>
    </row>
    <row r="17" spans="1:87">
      <c r="A17" s="3"/>
      <c r="B17" s="34" t="s">
        <v>90</v>
      </c>
      <c r="C17" s="100">
        <v>35828</v>
      </c>
      <c r="D17" s="47" t="s">
        <v>19</v>
      </c>
      <c r="E17" s="34">
        <v>153</v>
      </c>
      <c r="F17" s="34">
        <v>42</v>
      </c>
      <c r="G17" s="45">
        <v>66</v>
      </c>
      <c r="H17" s="3">
        <v>1.117</v>
      </c>
      <c r="I17" s="44">
        <f t="shared" si="1"/>
        <v>17.941817249775728</v>
      </c>
      <c r="J17" s="43" t="s">
        <v>26</v>
      </c>
      <c r="K17" s="32">
        <f t="shared" si="2"/>
        <v>115.18271343696591</v>
      </c>
      <c r="L17" s="34" t="s">
        <v>90</v>
      </c>
      <c r="M17" s="34">
        <v>154</v>
      </c>
      <c r="N17" s="101">
        <v>14</v>
      </c>
      <c r="O17" s="30">
        <f t="shared" si="3"/>
        <v>5</v>
      </c>
      <c r="P17" s="34">
        <v>5.3</v>
      </c>
      <c r="Q17" s="101">
        <v>19</v>
      </c>
      <c r="R17" s="30">
        <f t="shared" si="4"/>
        <v>5</v>
      </c>
      <c r="S17" s="34">
        <v>11.4</v>
      </c>
      <c r="T17" s="101">
        <v>10</v>
      </c>
      <c r="U17" s="30">
        <f t="shared" si="5"/>
        <v>5</v>
      </c>
      <c r="V17" s="34">
        <v>1180</v>
      </c>
      <c r="W17" s="101">
        <v>12</v>
      </c>
      <c r="X17" s="30">
        <f t="shared" si="6"/>
        <v>5</v>
      </c>
      <c r="Y17" s="40">
        <f t="shared" si="7"/>
        <v>55</v>
      </c>
      <c r="Z17" s="30">
        <f t="shared" si="8"/>
        <v>5</v>
      </c>
      <c r="AA17" s="223">
        <v>5</v>
      </c>
      <c r="AB17" s="34" t="s">
        <v>90</v>
      </c>
      <c r="AC17" s="102">
        <v>30</v>
      </c>
      <c r="AD17" s="103">
        <v>14</v>
      </c>
      <c r="AE17" s="30">
        <f t="shared" si="9"/>
        <v>5</v>
      </c>
      <c r="AF17" s="102">
        <v>15</v>
      </c>
      <c r="AG17" s="103">
        <v>20</v>
      </c>
      <c r="AH17" s="30">
        <f t="shared" si="10"/>
        <v>5</v>
      </c>
      <c r="AI17" s="102">
        <v>81</v>
      </c>
      <c r="AJ17" s="103">
        <v>10</v>
      </c>
      <c r="AK17" s="30">
        <f t="shared" si="11"/>
        <v>5</v>
      </c>
      <c r="AL17" s="102">
        <v>6</v>
      </c>
      <c r="AM17" s="103">
        <v>0</v>
      </c>
      <c r="AN17" s="30">
        <f t="shared" si="12"/>
        <v>2</v>
      </c>
      <c r="AO17" s="102">
        <v>6</v>
      </c>
      <c r="AP17" s="103">
        <v>6</v>
      </c>
      <c r="AQ17" s="30">
        <f t="shared" si="13"/>
        <v>4</v>
      </c>
      <c r="AR17" s="102">
        <v>8</v>
      </c>
      <c r="AS17" s="103">
        <v>8</v>
      </c>
      <c r="AT17" s="30">
        <f t="shared" si="14"/>
        <v>4</v>
      </c>
      <c r="AU17" s="40">
        <f t="shared" si="15"/>
        <v>58</v>
      </c>
      <c r="AV17" s="30">
        <f t="shared" si="16"/>
        <v>5</v>
      </c>
      <c r="AW17" s="40">
        <f t="shared" si="17"/>
        <v>113</v>
      </c>
      <c r="AX17" s="41"/>
      <c r="AY17" s="34" t="s">
        <v>90</v>
      </c>
      <c r="AZ17" s="31">
        <v>9.09</v>
      </c>
      <c r="BA17" s="344">
        <v>5</v>
      </c>
      <c r="BB17" s="30">
        <v>4</v>
      </c>
      <c r="BC17" s="31">
        <v>20.059999999999999</v>
      </c>
      <c r="BD17" s="344">
        <v>5</v>
      </c>
      <c r="BE17" s="30">
        <v>4</v>
      </c>
      <c r="BF17" s="31">
        <v>10</v>
      </c>
      <c r="BG17" s="344">
        <v>10</v>
      </c>
      <c r="BH17" s="30">
        <f t="shared" si="18"/>
        <v>5</v>
      </c>
      <c r="BI17" s="31">
        <v>14.4</v>
      </c>
      <c r="BJ17" s="344">
        <v>15</v>
      </c>
      <c r="BK17" s="30">
        <f t="shared" si="19"/>
        <v>5</v>
      </c>
      <c r="BL17" s="31">
        <v>2</v>
      </c>
      <c r="BM17" s="344">
        <v>3</v>
      </c>
      <c r="BN17" s="30">
        <f t="shared" si="20"/>
        <v>3</v>
      </c>
      <c r="BO17" s="40">
        <f t="shared" si="21"/>
        <v>38</v>
      </c>
      <c r="BP17" s="33">
        <f t="shared" si="0"/>
        <v>4</v>
      </c>
      <c r="BQ17" s="40">
        <f t="shared" si="22"/>
        <v>151</v>
      </c>
      <c r="BR17" s="41"/>
      <c r="BS17" s="31">
        <v>10.199999999999999</v>
      </c>
      <c r="BT17" s="344">
        <v>12</v>
      </c>
      <c r="BU17" s="30">
        <f t="shared" si="23"/>
        <v>5</v>
      </c>
      <c r="BV17" s="31">
        <v>10.17</v>
      </c>
      <c r="BW17" s="344">
        <v>1</v>
      </c>
      <c r="BX17" s="30">
        <f t="shared" si="24"/>
        <v>3</v>
      </c>
      <c r="BY17" s="31">
        <v>15</v>
      </c>
      <c r="BZ17" s="344">
        <v>3</v>
      </c>
      <c r="CA17" s="30">
        <f t="shared" si="25"/>
        <v>3</v>
      </c>
      <c r="CB17" s="31">
        <v>0.1</v>
      </c>
      <c r="CC17" s="344">
        <v>1</v>
      </c>
      <c r="CD17" s="30">
        <f t="shared" si="26"/>
        <v>2</v>
      </c>
      <c r="CE17" s="40">
        <f t="shared" si="27"/>
        <v>17</v>
      </c>
      <c r="CF17" s="30">
        <f t="shared" si="28"/>
        <v>4</v>
      </c>
      <c r="CG17" s="40">
        <f t="shared" si="29"/>
        <v>168</v>
      </c>
      <c r="CH17" s="41"/>
      <c r="CI17" s="34" t="s">
        <v>90</v>
      </c>
    </row>
    <row r="18" spans="1:87">
      <c r="A18" s="3"/>
      <c r="B18" s="34" t="s">
        <v>91</v>
      </c>
      <c r="C18" s="100">
        <v>36004</v>
      </c>
      <c r="D18" s="47" t="s">
        <v>19</v>
      </c>
      <c r="E18" s="104">
        <v>133</v>
      </c>
      <c r="F18" s="104">
        <v>30</v>
      </c>
      <c r="G18" s="45">
        <v>67</v>
      </c>
      <c r="H18" s="3">
        <v>1.117</v>
      </c>
      <c r="I18" s="44">
        <f t="shared" si="1"/>
        <v>16.959692464243314</v>
      </c>
      <c r="J18" s="43" t="s">
        <v>26</v>
      </c>
      <c r="K18" s="32">
        <f t="shared" si="2"/>
        <v>91.523136332660783</v>
      </c>
      <c r="L18" s="34" t="s">
        <v>91</v>
      </c>
      <c r="M18" s="34">
        <v>138</v>
      </c>
      <c r="N18" s="101">
        <v>5</v>
      </c>
      <c r="O18" s="30">
        <f t="shared" si="3"/>
        <v>4</v>
      </c>
      <c r="P18" s="34">
        <v>5.3</v>
      </c>
      <c r="Q18" s="101">
        <v>19</v>
      </c>
      <c r="R18" s="30">
        <f t="shared" si="4"/>
        <v>5</v>
      </c>
      <c r="S18" s="34">
        <v>11.8</v>
      </c>
      <c r="T18" s="101">
        <v>5</v>
      </c>
      <c r="U18" s="30">
        <f t="shared" si="5"/>
        <v>4</v>
      </c>
      <c r="V18" s="34">
        <v>1160</v>
      </c>
      <c r="W18" s="101">
        <v>9</v>
      </c>
      <c r="X18" s="30">
        <f t="shared" si="6"/>
        <v>4</v>
      </c>
      <c r="Y18" s="40">
        <f t="shared" si="7"/>
        <v>38</v>
      </c>
      <c r="Z18" s="30">
        <f t="shared" si="8"/>
        <v>5</v>
      </c>
      <c r="AA18" s="41"/>
      <c r="AB18" s="34" t="s">
        <v>91</v>
      </c>
      <c r="AC18" s="102">
        <v>31</v>
      </c>
      <c r="AD18" s="103">
        <v>16</v>
      </c>
      <c r="AE18" s="30">
        <f t="shared" si="9"/>
        <v>5</v>
      </c>
      <c r="AF18" s="102">
        <v>1</v>
      </c>
      <c r="AG18" s="103">
        <v>0</v>
      </c>
      <c r="AH18" s="30">
        <f t="shared" si="10"/>
        <v>2</v>
      </c>
      <c r="AI18" s="102">
        <v>65</v>
      </c>
      <c r="AJ18" s="103">
        <v>8</v>
      </c>
      <c r="AK18" s="30">
        <f t="shared" si="11"/>
        <v>4</v>
      </c>
      <c r="AL18" s="102">
        <v>11</v>
      </c>
      <c r="AM18" s="103">
        <v>10</v>
      </c>
      <c r="AN18" s="30">
        <f t="shared" si="12"/>
        <v>5</v>
      </c>
      <c r="AO18" s="102">
        <v>6</v>
      </c>
      <c r="AP18" s="103">
        <v>6</v>
      </c>
      <c r="AQ18" s="30">
        <f t="shared" si="13"/>
        <v>4</v>
      </c>
      <c r="AR18" s="102">
        <v>8</v>
      </c>
      <c r="AS18" s="103">
        <v>8</v>
      </c>
      <c r="AT18" s="30">
        <f t="shared" si="14"/>
        <v>4</v>
      </c>
      <c r="AU18" s="40">
        <f t="shared" si="15"/>
        <v>48</v>
      </c>
      <c r="AV18" s="30">
        <f t="shared" si="16"/>
        <v>5</v>
      </c>
      <c r="AW18" s="40">
        <f t="shared" si="17"/>
        <v>86</v>
      </c>
      <c r="AX18" s="41"/>
      <c r="AY18" s="34" t="s">
        <v>91</v>
      </c>
      <c r="AZ18" s="31">
        <v>13.11</v>
      </c>
      <c r="BA18" s="344">
        <v>5</v>
      </c>
      <c r="BB18" s="30">
        <v>4</v>
      </c>
      <c r="BC18" s="31">
        <v>30.19</v>
      </c>
      <c r="BD18" s="344">
        <v>1</v>
      </c>
      <c r="BE18" s="30">
        <v>3</v>
      </c>
      <c r="BF18" s="31">
        <v>11</v>
      </c>
      <c r="BG18" s="344">
        <v>11</v>
      </c>
      <c r="BH18" s="30">
        <f t="shared" si="18"/>
        <v>5</v>
      </c>
      <c r="BI18" s="31">
        <v>17.8</v>
      </c>
      <c r="BJ18" s="344">
        <v>2</v>
      </c>
      <c r="BK18" s="30">
        <f t="shared" si="19"/>
        <v>3</v>
      </c>
      <c r="BL18" s="31">
        <v>3</v>
      </c>
      <c r="BM18" s="344">
        <v>5</v>
      </c>
      <c r="BN18" s="30">
        <f t="shared" si="20"/>
        <v>4</v>
      </c>
      <c r="BO18" s="40">
        <f t="shared" si="21"/>
        <v>24</v>
      </c>
      <c r="BP18" s="33">
        <f t="shared" si="0"/>
        <v>4</v>
      </c>
      <c r="BQ18" s="40">
        <f t="shared" si="22"/>
        <v>110</v>
      </c>
      <c r="BR18" s="41"/>
      <c r="BS18" s="31">
        <v>10.700000000000001</v>
      </c>
      <c r="BT18" s="344">
        <v>7</v>
      </c>
      <c r="BU18" s="30">
        <f t="shared" si="23"/>
        <v>4</v>
      </c>
      <c r="BV18" s="31">
        <v>10.26</v>
      </c>
      <c r="BW18" s="344">
        <v>1</v>
      </c>
      <c r="BX18" s="30">
        <f t="shared" si="24"/>
        <v>3</v>
      </c>
      <c r="BY18" s="31">
        <v>18</v>
      </c>
      <c r="BZ18" s="344">
        <v>7</v>
      </c>
      <c r="CA18" s="30">
        <f t="shared" si="25"/>
        <v>4</v>
      </c>
      <c r="CB18" s="31">
        <v>9</v>
      </c>
      <c r="CC18" s="344">
        <v>20</v>
      </c>
      <c r="CD18" s="30">
        <f t="shared" si="26"/>
        <v>5</v>
      </c>
      <c r="CE18" s="40">
        <f t="shared" si="27"/>
        <v>35</v>
      </c>
      <c r="CF18" s="30">
        <f t="shared" si="28"/>
        <v>5</v>
      </c>
      <c r="CG18" s="40">
        <f t="shared" si="29"/>
        <v>145</v>
      </c>
      <c r="CH18" s="41"/>
      <c r="CI18" s="34" t="s">
        <v>91</v>
      </c>
    </row>
    <row r="19" spans="1:87">
      <c r="A19" s="3"/>
      <c r="B19" s="34" t="s">
        <v>92</v>
      </c>
      <c r="C19" s="100">
        <v>39175</v>
      </c>
      <c r="D19" s="47" t="s">
        <v>19</v>
      </c>
      <c r="E19" s="104">
        <v>136</v>
      </c>
      <c r="F19" s="104">
        <v>29</v>
      </c>
      <c r="G19" s="45">
        <v>60</v>
      </c>
      <c r="H19" s="3">
        <v>1.1499999999999999</v>
      </c>
      <c r="I19" s="44">
        <f t="shared" si="1"/>
        <v>15.679065743944633</v>
      </c>
      <c r="J19" s="43" t="s">
        <v>30</v>
      </c>
      <c r="K19" s="32">
        <f t="shared" si="2"/>
        <v>105.44927536231884</v>
      </c>
      <c r="L19" s="34" t="s">
        <v>92</v>
      </c>
      <c r="M19" s="34">
        <v>135</v>
      </c>
      <c r="N19" s="101">
        <v>4</v>
      </c>
      <c r="O19" s="30">
        <f t="shared" si="3"/>
        <v>3</v>
      </c>
      <c r="P19" s="34">
        <v>5.2</v>
      </c>
      <c r="Q19" s="101">
        <v>20</v>
      </c>
      <c r="R19" s="30">
        <f t="shared" si="4"/>
        <v>5</v>
      </c>
      <c r="S19" s="34">
        <v>11.5</v>
      </c>
      <c r="T19" s="101">
        <v>9</v>
      </c>
      <c r="U19" s="30">
        <f t="shared" si="5"/>
        <v>4</v>
      </c>
      <c r="V19" s="34">
        <v>1400</v>
      </c>
      <c r="W19" s="101">
        <v>20</v>
      </c>
      <c r="X19" s="30">
        <f t="shared" si="6"/>
        <v>5</v>
      </c>
      <c r="Y19" s="40">
        <f t="shared" si="7"/>
        <v>53</v>
      </c>
      <c r="Z19" s="30">
        <f t="shared" si="8"/>
        <v>5</v>
      </c>
      <c r="AA19" s="41"/>
      <c r="AB19" s="34" t="s">
        <v>92</v>
      </c>
      <c r="AC19" s="102">
        <v>15</v>
      </c>
      <c r="AD19" s="103">
        <v>0</v>
      </c>
      <c r="AE19" s="30">
        <f t="shared" si="9"/>
        <v>2</v>
      </c>
      <c r="AF19" s="102">
        <v>8</v>
      </c>
      <c r="AG19" s="103">
        <v>4</v>
      </c>
      <c r="AH19" s="30">
        <f t="shared" si="10"/>
        <v>3</v>
      </c>
      <c r="AI19" s="102">
        <v>105</v>
      </c>
      <c r="AJ19" s="103">
        <v>15</v>
      </c>
      <c r="AK19" s="30">
        <f t="shared" si="11"/>
        <v>5</v>
      </c>
      <c r="AL19" s="102">
        <v>6</v>
      </c>
      <c r="AM19" s="103">
        <v>0</v>
      </c>
      <c r="AN19" s="30">
        <f t="shared" si="12"/>
        <v>2</v>
      </c>
      <c r="AO19" s="102">
        <v>5</v>
      </c>
      <c r="AP19" s="103">
        <v>5</v>
      </c>
      <c r="AQ19" s="30">
        <f t="shared" si="13"/>
        <v>4</v>
      </c>
      <c r="AR19" s="102">
        <v>10</v>
      </c>
      <c r="AS19" s="103">
        <v>10</v>
      </c>
      <c r="AT19" s="30">
        <f t="shared" si="14"/>
        <v>5</v>
      </c>
      <c r="AU19" s="40">
        <f t="shared" si="15"/>
        <v>34</v>
      </c>
      <c r="AV19" s="30">
        <f t="shared" si="16"/>
        <v>4</v>
      </c>
      <c r="AW19" s="40">
        <f t="shared" si="17"/>
        <v>87</v>
      </c>
      <c r="AX19" s="41"/>
      <c r="AY19" s="34" t="s">
        <v>92</v>
      </c>
      <c r="AZ19" s="31">
        <v>12.040000000000001</v>
      </c>
      <c r="BA19" s="344">
        <v>5</v>
      </c>
      <c r="BB19" s="30">
        <v>4</v>
      </c>
      <c r="BC19" s="31">
        <v>24.28</v>
      </c>
      <c r="BD19" s="344">
        <v>5</v>
      </c>
      <c r="BE19" s="30">
        <v>4</v>
      </c>
      <c r="BF19" s="31">
        <v>6</v>
      </c>
      <c r="BG19" s="344">
        <v>1</v>
      </c>
      <c r="BH19" s="30">
        <f t="shared" si="18"/>
        <v>3</v>
      </c>
      <c r="BI19" s="31">
        <v>17.899999999999999</v>
      </c>
      <c r="BJ19" s="344">
        <v>2</v>
      </c>
      <c r="BK19" s="30">
        <f t="shared" si="19"/>
        <v>3</v>
      </c>
      <c r="BL19" s="31">
        <v>4</v>
      </c>
      <c r="BM19" s="344">
        <v>10</v>
      </c>
      <c r="BN19" s="30">
        <f t="shared" si="20"/>
        <v>5</v>
      </c>
      <c r="BO19" s="40">
        <f t="shared" si="21"/>
        <v>23</v>
      </c>
      <c r="BP19" s="33">
        <f t="shared" si="0"/>
        <v>4</v>
      </c>
      <c r="BQ19" s="40">
        <f t="shared" si="22"/>
        <v>110</v>
      </c>
      <c r="BR19" s="41"/>
      <c r="BS19" s="31">
        <v>10.8</v>
      </c>
      <c r="BT19" s="344">
        <v>5</v>
      </c>
      <c r="BU19" s="30">
        <f t="shared" si="23"/>
        <v>4</v>
      </c>
      <c r="BV19" s="31">
        <v>9.23</v>
      </c>
      <c r="BW19" s="344">
        <v>6</v>
      </c>
      <c r="BX19" s="30">
        <f t="shared" si="24"/>
        <v>4</v>
      </c>
      <c r="BY19" s="31">
        <v>19</v>
      </c>
      <c r="BZ19" s="344">
        <v>8</v>
      </c>
      <c r="CA19" s="30">
        <f t="shared" si="25"/>
        <v>4</v>
      </c>
      <c r="CB19" s="31">
        <v>5</v>
      </c>
      <c r="CC19" s="344">
        <v>10</v>
      </c>
      <c r="CD19" s="30">
        <f t="shared" si="26"/>
        <v>5</v>
      </c>
      <c r="CE19" s="40">
        <f t="shared" si="27"/>
        <v>29</v>
      </c>
      <c r="CF19" s="30">
        <f t="shared" si="28"/>
        <v>4</v>
      </c>
      <c r="CG19" s="40">
        <f t="shared" si="29"/>
        <v>139</v>
      </c>
      <c r="CH19" s="41"/>
      <c r="CI19" s="34" t="s">
        <v>92</v>
      </c>
    </row>
    <row r="20" spans="1:87">
      <c r="A20" s="3"/>
      <c r="B20" s="34" t="s">
        <v>93</v>
      </c>
      <c r="C20" s="100">
        <v>35665</v>
      </c>
      <c r="D20" s="47" t="s">
        <v>19</v>
      </c>
      <c r="E20" s="34">
        <v>150</v>
      </c>
      <c r="F20" s="34">
        <v>60</v>
      </c>
      <c r="G20" s="45">
        <v>75</v>
      </c>
      <c r="H20" s="3">
        <v>1.1499999999999999</v>
      </c>
      <c r="I20" s="44">
        <f t="shared" si="1"/>
        <v>26.666666666666668</v>
      </c>
      <c r="J20" s="43" t="s">
        <v>21</v>
      </c>
      <c r="K20" s="32">
        <f t="shared" si="2"/>
        <v>78.260869565217391</v>
      </c>
      <c r="L20" s="34" t="s">
        <v>93</v>
      </c>
      <c r="M20" s="34">
        <v>123</v>
      </c>
      <c r="N20" s="101">
        <v>0</v>
      </c>
      <c r="O20" s="30">
        <f t="shared" si="3"/>
        <v>2</v>
      </c>
      <c r="P20" s="34">
        <v>5.9</v>
      </c>
      <c r="Q20" s="101">
        <v>9</v>
      </c>
      <c r="R20" s="30">
        <f t="shared" si="4"/>
        <v>4</v>
      </c>
      <c r="S20" s="34">
        <v>12.3</v>
      </c>
      <c r="T20" s="101">
        <v>0</v>
      </c>
      <c r="U20" s="30">
        <f t="shared" si="5"/>
        <v>2</v>
      </c>
      <c r="V20" s="34">
        <v>1100</v>
      </c>
      <c r="W20" s="101">
        <v>7</v>
      </c>
      <c r="X20" s="30">
        <f t="shared" si="6"/>
        <v>4</v>
      </c>
      <c r="Y20" s="40">
        <f t="shared" si="7"/>
        <v>16</v>
      </c>
      <c r="Z20" s="30">
        <f t="shared" si="8"/>
        <v>4</v>
      </c>
      <c r="AA20" s="41"/>
      <c r="AB20" s="34" t="s">
        <v>93</v>
      </c>
      <c r="AC20" s="102">
        <v>31</v>
      </c>
      <c r="AD20" s="103">
        <v>16</v>
      </c>
      <c r="AE20" s="30">
        <f t="shared" si="9"/>
        <v>5</v>
      </c>
      <c r="AF20" s="102">
        <v>10</v>
      </c>
      <c r="AG20" s="103">
        <v>7</v>
      </c>
      <c r="AH20" s="30">
        <f t="shared" si="10"/>
        <v>4</v>
      </c>
      <c r="AI20" s="102">
        <v>88</v>
      </c>
      <c r="AJ20" s="103">
        <v>11</v>
      </c>
      <c r="AK20" s="30">
        <f t="shared" si="11"/>
        <v>5</v>
      </c>
      <c r="AL20" s="102">
        <v>-1</v>
      </c>
      <c r="AM20" s="103">
        <v>0</v>
      </c>
      <c r="AN20" s="30">
        <f t="shared" si="12"/>
        <v>2</v>
      </c>
      <c r="AO20" s="102">
        <v>4</v>
      </c>
      <c r="AP20" s="103">
        <v>4</v>
      </c>
      <c r="AQ20" s="30">
        <f t="shared" si="13"/>
        <v>3</v>
      </c>
      <c r="AR20" s="102">
        <v>9</v>
      </c>
      <c r="AS20" s="103">
        <v>9</v>
      </c>
      <c r="AT20" s="30">
        <f t="shared" si="14"/>
        <v>4</v>
      </c>
      <c r="AU20" s="40">
        <f t="shared" si="15"/>
        <v>47</v>
      </c>
      <c r="AV20" s="30">
        <f t="shared" si="16"/>
        <v>5</v>
      </c>
      <c r="AW20" s="40">
        <f t="shared" si="17"/>
        <v>63</v>
      </c>
      <c r="AX20" s="41"/>
      <c r="AY20" s="34" t="s">
        <v>93</v>
      </c>
      <c r="AZ20" s="31"/>
      <c r="BA20" s="344"/>
      <c r="BB20" s="30" t="str">
        <f>IF(AZ20=0,"",IF(AZ20&gt;8.1,2,IF(AND(AZ20&lt;=8.1,AZ20&gt;7.3),3,IF(AND(AZ20&lt;=7.3,AZ20&gt;7),4,IF(AND(AZ20&lt;=7),5)))))</f>
        <v/>
      </c>
      <c r="BC20" s="31"/>
      <c r="BD20" s="344"/>
      <c r="BE20" s="30" t="str">
        <f>IF(BC20=0,"",IF(BC20&gt;16.4,2,IF(AND(BC20&lt;=16.4,BC20&gt;15.5),3,IF(AND(BC20&lt;=15.5,BC20&gt;15),4,IF(AND(BC20&lt;=15),5)))))</f>
        <v/>
      </c>
      <c r="BF20" s="31">
        <v>20</v>
      </c>
      <c r="BG20" s="344">
        <v>20</v>
      </c>
      <c r="BH20" s="30">
        <f t="shared" si="18"/>
        <v>5</v>
      </c>
      <c r="BI20" s="31">
        <v>16.100000000000001</v>
      </c>
      <c r="BJ20" s="344">
        <v>9</v>
      </c>
      <c r="BK20" s="30">
        <f t="shared" si="19"/>
        <v>4</v>
      </c>
      <c r="BL20" s="31">
        <v>3</v>
      </c>
      <c r="BM20" s="344">
        <v>5</v>
      </c>
      <c r="BN20" s="30">
        <f t="shared" si="20"/>
        <v>4</v>
      </c>
      <c r="BO20" s="40">
        <f t="shared" si="21"/>
        <v>34</v>
      </c>
      <c r="BP20" s="33">
        <f t="shared" si="0"/>
        <v>4</v>
      </c>
      <c r="BQ20" s="40">
        <f t="shared" si="22"/>
        <v>97</v>
      </c>
      <c r="BR20" s="41"/>
      <c r="BS20" s="31">
        <v>12.5</v>
      </c>
      <c r="BT20" s="344">
        <v>0</v>
      </c>
      <c r="BU20" s="30">
        <f t="shared" si="23"/>
        <v>2</v>
      </c>
      <c r="BV20" s="31">
        <v>12.17</v>
      </c>
      <c r="BW20" s="344">
        <v>0</v>
      </c>
      <c r="BX20" s="30">
        <f t="shared" si="24"/>
        <v>2</v>
      </c>
      <c r="BY20" s="31">
        <v>18</v>
      </c>
      <c r="BZ20" s="344">
        <v>7</v>
      </c>
      <c r="CA20" s="30">
        <f t="shared" si="25"/>
        <v>4</v>
      </c>
      <c r="CB20" s="31">
        <v>0.1</v>
      </c>
      <c r="CC20" s="344">
        <v>0</v>
      </c>
      <c r="CD20" s="30">
        <f t="shared" si="26"/>
        <v>2</v>
      </c>
      <c r="CE20" s="40">
        <f t="shared" si="27"/>
        <v>7</v>
      </c>
      <c r="CF20" s="30">
        <f t="shared" si="28"/>
        <v>3</v>
      </c>
      <c r="CG20" s="40">
        <f t="shared" si="29"/>
        <v>104</v>
      </c>
      <c r="CH20" s="41"/>
      <c r="CI20" s="34" t="s">
        <v>93</v>
      </c>
    </row>
    <row r="21" spans="1:87">
      <c r="A21" s="3"/>
      <c r="B21" s="34" t="s">
        <v>94</v>
      </c>
      <c r="C21" s="100">
        <v>35758</v>
      </c>
      <c r="D21" s="47" t="s">
        <v>19</v>
      </c>
      <c r="E21" s="104">
        <v>144</v>
      </c>
      <c r="F21" s="104">
        <v>37</v>
      </c>
      <c r="G21" s="45">
        <v>66</v>
      </c>
      <c r="H21" s="3">
        <v>1.1499999999999999</v>
      </c>
      <c r="I21" s="44">
        <f t="shared" si="1"/>
        <v>17.843364197530864</v>
      </c>
      <c r="J21" s="43" t="s">
        <v>26</v>
      </c>
      <c r="K21" s="32">
        <f t="shared" si="2"/>
        <v>101.501976284585</v>
      </c>
      <c r="L21" s="34" t="s">
        <v>94</v>
      </c>
      <c r="M21" s="34">
        <v>134</v>
      </c>
      <c r="N21" s="101">
        <v>3</v>
      </c>
      <c r="O21" s="30">
        <f t="shared" si="3"/>
        <v>3</v>
      </c>
      <c r="P21" s="34">
        <v>5.5</v>
      </c>
      <c r="Q21" s="101">
        <v>16</v>
      </c>
      <c r="R21" s="30">
        <f t="shared" si="4"/>
        <v>5</v>
      </c>
      <c r="S21" s="34">
        <v>12.6</v>
      </c>
      <c r="T21" s="101">
        <v>0</v>
      </c>
      <c r="U21" s="30">
        <f t="shared" si="5"/>
        <v>2</v>
      </c>
      <c r="V21" s="34">
        <v>1205</v>
      </c>
      <c r="W21" s="101">
        <v>15</v>
      </c>
      <c r="X21" s="30">
        <f t="shared" si="6"/>
        <v>5</v>
      </c>
      <c r="Y21" s="40">
        <f t="shared" si="7"/>
        <v>34</v>
      </c>
      <c r="Z21" s="30">
        <f t="shared" si="8"/>
        <v>5</v>
      </c>
      <c r="AA21" s="41"/>
      <c r="AB21" s="34" t="s">
        <v>94</v>
      </c>
      <c r="AC21" s="102">
        <v>36</v>
      </c>
      <c r="AD21" s="103">
        <v>20</v>
      </c>
      <c r="AE21" s="30">
        <f t="shared" si="9"/>
        <v>5</v>
      </c>
      <c r="AF21" s="102">
        <v>-17</v>
      </c>
      <c r="AG21" s="103">
        <v>0</v>
      </c>
      <c r="AH21" s="30">
        <f t="shared" si="10"/>
        <v>2</v>
      </c>
      <c r="AI21" s="102">
        <v>87</v>
      </c>
      <c r="AJ21" s="103">
        <v>11</v>
      </c>
      <c r="AK21" s="30">
        <f t="shared" si="11"/>
        <v>5</v>
      </c>
      <c r="AL21" s="102">
        <v>3</v>
      </c>
      <c r="AM21" s="103">
        <v>0</v>
      </c>
      <c r="AN21" s="30">
        <f t="shared" si="12"/>
        <v>2</v>
      </c>
      <c r="AO21" s="102">
        <v>2</v>
      </c>
      <c r="AP21" s="103">
        <v>2</v>
      </c>
      <c r="AQ21" s="30">
        <f t="shared" si="13"/>
        <v>3</v>
      </c>
      <c r="AR21" s="102">
        <v>7</v>
      </c>
      <c r="AS21" s="103">
        <v>7</v>
      </c>
      <c r="AT21" s="30">
        <f t="shared" si="14"/>
        <v>4</v>
      </c>
      <c r="AU21" s="40">
        <f t="shared" si="15"/>
        <v>40</v>
      </c>
      <c r="AV21" s="30">
        <f t="shared" si="16"/>
        <v>4</v>
      </c>
      <c r="AW21" s="40">
        <f t="shared" si="17"/>
        <v>74</v>
      </c>
      <c r="AX21" s="41"/>
      <c r="AY21" s="34" t="s">
        <v>94</v>
      </c>
      <c r="AZ21" s="31">
        <v>10.17</v>
      </c>
      <c r="BA21" s="344">
        <v>5</v>
      </c>
      <c r="BB21" s="30">
        <v>4</v>
      </c>
      <c r="BC21" s="31">
        <v>30.41</v>
      </c>
      <c r="BD21" s="344">
        <v>1</v>
      </c>
      <c r="BE21" s="30">
        <v>3</v>
      </c>
      <c r="BF21" s="31">
        <v>3</v>
      </c>
      <c r="BG21" s="344">
        <v>0</v>
      </c>
      <c r="BH21" s="30">
        <f t="shared" si="18"/>
        <v>2</v>
      </c>
      <c r="BI21" s="31">
        <v>18.2</v>
      </c>
      <c r="BJ21" s="344">
        <v>1</v>
      </c>
      <c r="BK21" s="30">
        <f t="shared" si="19"/>
        <v>3</v>
      </c>
      <c r="BL21" s="31">
        <v>3</v>
      </c>
      <c r="BM21" s="344">
        <v>5</v>
      </c>
      <c r="BN21" s="30">
        <f t="shared" si="20"/>
        <v>4</v>
      </c>
      <c r="BO21" s="40">
        <f t="shared" si="21"/>
        <v>12</v>
      </c>
      <c r="BP21" s="33">
        <f t="shared" si="0"/>
        <v>3</v>
      </c>
      <c r="BQ21" s="40">
        <f t="shared" si="22"/>
        <v>86</v>
      </c>
      <c r="BR21" s="41"/>
      <c r="BS21" s="31">
        <v>11.6</v>
      </c>
      <c r="BT21" s="344">
        <v>0</v>
      </c>
      <c r="BU21" s="30">
        <f t="shared" si="23"/>
        <v>2</v>
      </c>
      <c r="BV21" s="31">
        <v>11.32</v>
      </c>
      <c r="BW21" s="344">
        <v>0</v>
      </c>
      <c r="BX21" s="30">
        <f t="shared" si="24"/>
        <v>2</v>
      </c>
      <c r="BY21" s="31">
        <v>18</v>
      </c>
      <c r="BZ21" s="344">
        <v>7</v>
      </c>
      <c r="CA21" s="30">
        <f t="shared" si="25"/>
        <v>4</v>
      </c>
      <c r="CB21" s="31">
        <v>0.1</v>
      </c>
      <c r="CC21" s="344">
        <v>0</v>
      </c>
      <c r="CD21" s="30">
        <f t="shared" si="26"/>
        <v>2</v>
      </c>
      <c r="CE21" s="40">
        <f t="shared" si="27"/>
        <v>7</v>
      </c>
      <c r="CF21" s="30">
        <f t="shared" si="28"/>
        <v>3</v>
      </c>
      <c r="CG21" s="40">
        <f t="shared" si="29"/>
        <v>93</v>
      </c>
      <c r="CH21" s="41"/>
      <c r="CI21" s="34" t="s">
        <v>94</v>
      </c>
    </row>
    <row r="22" spans="1:87">
      <c r="A22" s="3"/>
      <c r="B22" s="32" t="s">
        <v>95</v>
      </c>
      <c r="C22" s="48">
        <v>35598</v>
      </c>
      <c r="D22" s="47" t="s">
        <v>19</v>
      </c>
      <c r="E22" s="3">
        <v>163</v>
      </c>
      <c r="F22" s="3">
        <v>62</v>
      </c>
      <c r="G22" s="32">
        <v>81</v>
      </c>
      <c r="H22" s="3">
        <v>1.1499999999999999</v>
      </c>
      <c r="I22" s="44">
        <f t="shared" si="1"/>
        <v>23.335466144755166</v>
      </c>
      <c r="J22" s="43" t="s">
        <v>21</v>
      </c>
      <c r="K22" s="32">
        <f t="shared" si="2"/>
        <v>88.368223295759535</v>
      </c>
      <c r="L22" s="32" t="s">
        <v>95</v>
      </c>
      <c r="M22" s="32">
        <v>110</v>
      </c>
      <c r="N22" s="40">
        <v>0</v>
      </c>
      <c r="O22" s="30">
        <f t="shared" si="3"/>
        <v>2</v>
      </c>
      <c r="P22" s="32">
        <v>7</v>
      </c>
      <c r="Q22" s="40">
        <v>0</v>
      </c>
      <c r="R22" s="30">
        <f t="shared" si="4"/>
        <v>2</v>
      </c>
      <c r="S22" s="32">
        <v>14</v>
      </c>
      <c r="T22" s="40">
        <v>0</v>
      </c>
      <c r="U22" s="30">
        <f t="shared" si="5"/>
        <v>2</v>
      </c>
      <c r="V22" s="32">
        <v>1010</v>
      </c>
      <c r="W22" s="40">
        <v>4</v>
      </c>
      <c r="X22" s="30">
        <f t="shared" si="6"/>
        <v>3</v>
      </c>
      <c r="Y22" s="40">
        <f t="shared" si="7"/>
        <v>4</v>
      </c>
      <c r="Z22" s="30">
        <f t="shared" si="8"/>
        <v>3</v>
      </c>
      <c r="AA22" s="41"/>
      <c r="AB22" s="32" t="s">
        <v>95</v>
      </c>
      <c r="AC22" s="29"/>
      <c r="AD22" s="42"/>
      <c r="AE22" s="30" t="str">
        <f t="shared" si="9"/>
        <v/>
      </c>
      <c r="AF22" s="29">
        <v>10</v>
      </c>
      <c r="AG22" s="42">
        <v>7</v>
      </c>
      <c r="AH22" s="30">
        <f t="shared" si="10"/>
        <v>4</v>
      </c>
      <c r="AI22" s="29"/>
      <c r="AJ22" s="42"/>
      <c r="AK22" s="30" t="str">
        <f t="shared" si="11"/>
        <v/>
      </c>
      <c r="AL22" s="29">
        <v>-1</v>
      </c>
      <c r="AM22" s="42">
        <v>0</v>
      </c>
      <c r="AN22" s="30">
        <f t="shared" si="12"/>
        <v>2</v>
      </c>
      <c r="AO22" s="29"/>
      <c r="AP22" s="42"/>
      <c r="AQ22" s="30" t="str">
        <f t="shared" si="13"/>
        <v/>
      </c>
      <c r="AR22" s="29"/>
      <c r="AS22" s="42"/>
      <c r="AT22" s="30" t="str">
        <f t="shared" si="14"/>
        <v/>
      </c>
      <c r="AU22" s="40">
        <f t="shared" si="15"/>
        <v>7</v>
      </c>
      <c r="AV22" s="30">
        <f t="shared" si="16"/>
        <v>3</v>
      </c>
      <c r="AW22" s="40">
        <f t="shared" si="17"/>
        <v>11</v>
      </c>
      <c r="AX22" s="41"/>
      <c r="AY22" s="32" t="s">
        <v>95</v>
      </c>
      <c r="AZ22" s="31"/>
      <c r="BA22" s="31"/>
      <c r="BB22" s="30" t="str">
        <f>IF(AZ22=0,"",IF(AZ22&gt;8.1,2,IF(AND(AZ22&lt;=8.1,AZ22&gt;7.3),3,IF(AND(AZ22&lt;=7.3,AZ22&gt;7),4,IF(AND(AZ22&lt;=7),5)))))</f>
        <v/>
      </c>
      <c r="BC22" s="31"/>
      <c r="BD22" s="344"/>
      <c r="BE22" s="30" t="str">
        <f>IF(BC22=0,"",IF(BC22&gt;16.4,2,IF(AND(BC22&lt;=16.4,BC22&gt;15.5),3,IF(AND(BC22&lt;=15.5,BC22&gt;15),4,IF(AND(BC22&lt;=15),5)))))</f>
        <v/>
      </c>
      <c r="BF22" s="31">
        <v>8</v>
      </c>
      <c r="BG22" s="344">
        <v>3</v>
      </c>
      <c r="BH22" s="30">
        <f t="shared" si="18"/>
        <v>4</v>
      </c>
      <c r="BI22" s="31"/>
      <c r="BJ22" s="344"/>
      <c r="BK22" s="30" t="str">
        <f t="shared" si="19"/>
        <v/>
      </c>
      <c r="BL22" s="31">
        <v>2</v>
      </c>
      <c r="BM22" s="344">
        <v>3</v>
      </c>
      <c r="BN22" s="30">
        <f t="shared" si="20"/>
        <v>3</v>
      </c>
      <c r="BO22" s="40">
        <f t="shared" si="21"/>
        <v>6</v>
      </c>
      <c r="BP22" s="30">
        <f t="shared" si="0"/>
        <v>3</v>
      </c>
      <c r="BQ22" s="40">
        <f t="shared" si="22"/>
        <v>17</v>
      </c>
      <c r="BR22" s="41"/>
      <c r="BS22" s="31"/>
      <c r="BT22" s="344"/>
      <c r="BU22" s="30" t="str">
        <f t="shared" si="23"/>
        <v/>
      </c>
      <c r="BV22" s="31"/>
      <c r="BW22" s="344"/>
      <c r="BX22" s="30" t="str">
        <f t="shared" si="24"/>
        <v/>
      </c>
      <c r="BY22" s="31"/>
      <c r="BZ22" s="344"/>
      <c r="CA22" s="30" t="str">
        <f t="shared" si="25"/>
        <v/>
      </c>
      <c r="CB22" s="31"/>
      <c r="CC22" s="344"/>
      <c r="CD22" s="30" t="str">
        <f t="shared" si="26"/>
        <v/>
      </c>
      <c r="CE22" s="40">
        <f t="shared" si="27"/>
        <v>0</v>
      </c>
      <c r="CF22" s="30" t="s">
        <v>96</v>
      </c>
      <c r="CG22" s="40">
        <f t="shared" si="29"/>
        <v>17</v>
      </c>
      <c r="CH22" s="41"/>
      <c r="CI22" s="32" t="s">
        <v>95</v>
      </c>
    </row>
    <row r="23" spans="1:87">
      <c r="A23" s="315"/>
      <c r="B23" s="315"/>
      <c r="H23" s="255"/>
      <c r="L23" s="38"/>
      <c r="M23" s="36"/>
      <c r="N23" s="36"/>
      <c r="O23" s="36"/>
      <c r="P23" s="36"/>
      <c r="Q23" s="36"/>
      <c r="R23" s="36"/>
      <c r="S23" s="36"/>
      <c r="T23" s="36"/>
      <c r="U23" s="37"/>
      <c r="V23" s="36"/>
      <c r="W23" s="36"/>
      <c r="X23" s="36"/>
      <c r="Y23" s="36"/>
      <c r="Z23" s="36"/>
      <c r="AA23" s="36"/>
      <c r="AB23" s="38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8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8"/>
    </row>
    <row r="24" spans="1:87">
      <c r="A24" s="315"/>
      <c r="B24" s="316"/>
      <c r="C24" s="227" t="s">
        <v>19</v>
      </c>
      <c r="D24" s="248">
        <f>COUNTIF(D5:D22,"осн.")</f>
        <v>16</v>
      </c>
      <c r="E24" s="249"/>
      <c r="F24" s="217"/>
      <c r="G24" s="217"/>
      <c r="H24" s="217"/>
      <c r="I24" s="217"/>
      <c r="J24" s="217"/>
      <c r="K24" s="228"/>
      <c r="L24" s="106" t="s">
        <v>18</v>
      </c>
      <c r="M24" s="32"/>
      <c r="N24" s="32"/>
      <c r="O24" s="30">
        <f>AVERAGE(O3:O22)</f>
        <v>3.7894736842105261</v>
      </c>
      <c r="P24" s="32"/>
      <c r="Q24" s="32"/>
      <c r="R24" s="30">
        <f>AVERAGE(R3:R22)</f>
        <v>4.6842105263157894</v>
      </c>
      <c r="S24" s="32"/>
      <c r="T24" s="32"/>
      <c r="U24" s="33">
        <f>AVERAGE(U3:U22)</f>
        <v>3.6315789473684212</v>
      </c>
      <c r="V24" s="32"/>
      <c r="W24" s="32"/>
      <c r="X24" s="30">
        <f>AVERAGE(X3:X22)</f>
        <v>4.6315789473684212</v>
      </c>
      <c r="Y24" s="32"/>
      <c r="Z24" s="30">
        <f>AVERAGE(O24:X24)</f>
        <v>4.1842105263157894</v>
      </c>
      <c r="AA24" s="30"/>
      <c r="AB24" s="32" t="s">
        <v>18</v>
      </c>
      <c r="AC24" s="31"/>
      <c r="AD24" s="31"/>
      <c r="AE24" s="30">
        <f>AVERAGE(AE3:AE22)</f>
        <v>4.4444444444444446</v>
      </c>
      <c r="AF24" s="31"/>
      <c r="AG24" s="31"/>
      <c r="AH24" s="30">
        <f>AVERAGE(AH3:AH22)</f>
        <v>3.9473684210526314</v>
      </c>
      <c r="AI24" s="31"/>
      <c r="AJ24" s="31"/>
      <c r="AK24" s="30">
        <f>AVERAGE(AK3:AK22)</f>
        <v>4.833333333333333</v>
      </c>
      <c r="AL24" s="31"/>
      <c r="AM24" s="31"/>
      <c r="AN24" s="30">
        <f>AVERAGE(AN3:AN22)</f>
        <v>3.1052631578947367</v>
      </c>
      <c r="AO24" s="31"/>
      <c r="AP24" s="31"/>
      <c r="AQ24" s="30">
        <f>AVERAGE(AQ3:AQ22)</f>
        <v>4.3888888888888893</v>
      </c>
      <c r="AR24" s="31"/>
      <c r="AS24" s="31"/>
      <c r="AT24" s="30">
        <f>AVERAGE(AT3:AT22)</f>
        <v>4.7222222222222223</v>
      </c>
      <c r="AU24" s="31"/>
      <c r="AV24" s="30">
        <f>AVERAGE(AE24:AT24)</f>
        <v>4.2402534113060426</v>
      </c>
      <c r="AW24" s="29"/>
      <c r="AX24" s="29"/>
      <c r="AY24" s="32" t="s">
        <v>18</v>
      </c>
      <c r="AZ24" s="31"/>
      <c r="BA24" s="31"/>
      <c r="BB24" s="30">
        <f>AVERAGE(BB3:BB22)</f>
        <v>3.875</v>
      </c>
      <c r="BC24" s="31"/>
      <c r="BD24" s="31"/>
      <c r="BE24" s="30">
        <f>AVERAGE(BE3:BE22)</f>
        <v>3.375</v>
      </c>
      <c r="BF24" s="31"/>
      <c r="BG24" s="31"/>
      <c r="BH24" s="30">
        <f>AVERAGE(BH3:BH22)</f>
        <v>4.5</v>
      </c>
      <c r="BI24" s="31"/>
      <c r="BJ24" s="31"/>
      <c r="BK24" s="30">
        <f>AVERAGE(BK3:BK22)</f>
        <v>4.117647058823529</v>
      </c>
      <c r="BL24" s="31"/>
      <c r="BM24" s="31"/>
      <c r="BN24" s="30">
        <f>AVERAGE(BN3:BN22)</f>
        <v>4.4444444444444446</v>
      </c>
      <c r="BO24" s="31"/>
      <c r="BP24" s="30">
        <f>AVERAGE(BB24:BN24)</f>
        <v>4.0624183006535945</v>
      </c>
      <c r="BQ24" s="31"/>
      <c r="BR24" s="31"/>
      <c r="BS24" s="31"/>
      <c r="BT24" s="31"/>
      <c r="BU24" s="30">
        <f>AVERAGE(BU3:BU22)</f>
        <v>4.0555555555555554</v>
      </c>
      <c r="BV24" s="31"/>
      <c r="BW24" s="31"/>
      <c r="BX24" s="30">
        <f>AVERAGE(BX3:BX22)</f>
        <v>3.3888888888888888</v>
      </c>
      <c r="BY24" s="31"/>
      <c r="BZ24" s="31"/>
      <c r="CA24" s="30">
        <f>AVERAGE(CA3:CA22)</f>
        <v>4</v>
      </c>
      <c r="CB24" s="31"/>
      <c r="CC24" s="31"/>
      <c r="CD24" s="30">
        <f>AVERAGE(CD3:CD22)</f>
        <v>4.117647058823529</v>
      </c>
      <c r="CE24" s="31"/>
      <c r="CF24" s="30">
        <f>AVERAGE(BU24:CD24)</f>
        <v>3.8905228758169934</v>
      </c>
      <c r="CG24" s="30">
        <f>AVERAGE(Z24,AV24,BP24,CF24)</f>
        <v>4.0943512785231055</v>
      </c>
      <c r="CH24" s="30"/>
      <c r="CI24" s="32" t="s">
        <v>18</v>
      </c>
    </row>
    <row r="25" spans="1:87">
      <c r="A25" s="315"/>
      <c r="B25" s="315"/>
      <c r="K25" s="256"/>
      <c r="L25" s="28"/>
      <c r="Y25" s="27" t="s">
        <v>17</v>
      </c>
      <c r="Z25" s="27"/>
    </row>
    <row r="26" spans="1:87">
      <c r="A26" s="315"/>
      <c r="B26" s="319" t="s">
        <v>16</v>
      </c>
      <c r="C26" s="26"/>
      <c r="D26" s="26"/>
      <c r="K26" s="17"/>
      <c r="L26" s="17"/>
      <c r="Y26" s="25" t="s">
        <v>15</v>
      </c>
      <c r="Z26" s="24">
        <v>20</v>
      </c>
      <c r="AU26" s="25" t="s">
        <v>15</v>
      </c>
      <c r="AV26" s="24">
        <v>20</v>
      </c>
      <c r="BO26" s="25" t="s">
        <v>15</v>
      </c>
      <c r="BP26" s="24">
        <v>20</v>
      </c>
      <c r="CE26" s="25" t="s">
        <v>15</v>
      </c>
      <c r="CF26" s="24">
        <v>19</v>
      </c>
    </row>
    <row r="27" spans="1:87">
      <c r="A27" s="315"/>
      <c r="B27" s="321"/>
      <c r="C27" s="23"/>
      <c r="K27" s="17"/>
      <c r="L27" s="17"/>
      <c r="Y27" s="22" t="s">
        <v>14</v>
      </c>
      <c r="Z27" s="13">
        <f>COUNTIF(Z3:Z22,5)</f>
        <v>16</v>
      </c>
      <c r="AU27" s="22" t="s">
        <v>14</v>
      </c>
      <c r="AV27" s="13">
        <f>COUNTIF(AV3:AV22,5)</f>
        <v>14</v>
      </c>
      <c r="BO27" s="22" t="s">
        <v>14</v>
      </c>
      <c r="BP27" s="13">
        <f>COUNTIF(BP3:BP22,5)</f>
        <v>9</v>
      </c>
      <c r="CE27" s="22" t="s">
        <v>14</v>
      </c>
      <c r="CF27" s="13">
        <f>COUNTIF(CF3:CF22,5)</f>
        <v>10</v>
      </c>
    </row>
    <row r="28" spans="1:87">
      <c r="A28" s="315"/>
      <c r="B28" s="21" t="s">
        <v>13</v>
      </c>
      <c r="C28" s="20">
        <v>19</v>
      </c>
      <c r="D28" s="19" t="s">
        <v>4</v>
      </c>
      <c r="K28" s="17"/>
      <c r="L28" s="17"/>
      <c r="Y28" s="18" t="s">
        <v>12</v>
      </c>
      <c r="Z28" s="13">
        <f>COUNTIF(Z3:Z22,4)</f>
        <v>1</v>
      </c>
      <c r="AU28" s="18" t="s">
        <v>12</v>
      </c>
      <c r="AV28" s="13">
        <f>COUNTIF(AV3:AV22,4)</f>
        <v>4</v>
      </c>
      <c r="BO28" s="18" t="s">
        <v>12</v>
      </c>
      <c r="BP28" s="13">
        <f>COUNTIF(BP3:BP22,4)</f>
        <v>6</v>
      </c>
      <c r="CE28" s="18" t="s">
        <v>12</v>
      </c>
      <c r="CF28" s="13">
        <f>COUNTIF(CF3:CF22,4)</f>
        <v>4</v>
      </c>
    </row>
    <row r="29" spans="1:87">
      <c r="A29" s="315"/>
      <c r="B29" s="2" t="s">
        <v>11</v>
      </c>
      <c r="C29" s="2">
        <f>COUNTIF(J3:J22,"деф.массы")</f>
        <v>1</v>
      </c>
      <c r="D29" s="2">
        <f>C29*100/C28</f>
        <v>5.2631578947368425</v>
      </c>
      <c r="K29" s="17"/>
      <c r="L29" s="17"/>
      <c r="Y29" s="16" t="s">
        <v>10</v>
      </c>
      <c r="Z29" s="13">
        <f>COUNTIF(Z3:Z22,3)</f>
        <v>2</v>
      </c>
      <c r="AU29" s="16" t="s">
        <v>10</v>
      </c>
      <c r="AV29" s="13">
        <f>COUNTIF(AV3:AV22,3)</f>
        <v>1</v>
      </c>
      <c r="BO29" s="16" t="s">
        <v>10</v>
      </c>
      <c r="BP29" s="13">
        <f>COUNTIF(BP3:BP22,3)</f>
        <v>4</v>
      </c>
      <c r="CE29" s="16" t="s">
        <v>10</v>
      </c>
      <c r="CF29" s="13">
        <f>COUNTIF(CF3:CF22,3)</f>
        <v>4</v>
      </c>
    </row>
    <row r="30" spans="1:87">
      <c r="A30" s="315"/>
      <c r="B30" s="15" t="s">
        <v>9</v>
      </c>
      <c r="C30" s="2">
        <f>COUNTIF(J3:J22,"гарм.(-)")</f>
        <v>5</v>
      </c>
      <c r="D30" s="359">
        <f>(C30+C31+C32)*100/C28</f>
        <v>68.421052631578945</v>
      </c>
      <c r="Y30" s="14" t="s">
        <v>8</v>
      </c>
      <c r="Z30" s="13">
        <f>COUNTIF(Z3:Z22,2)</f>
        <v>0</v>
      </c>
      <c r="AU30" s="14" t="s">
        <v>8</v>
      </c>
      <c r="AV30" s="13">
        <f>COUNTIF(AV3:AV22,2)</f>
        <v>0</v>
      </c>
      <c r="BO30" s="14" t="s">
        <v>8</v>
      </c>
      <c r="BP30" s="13">
        <f>COUNTIF(BP3:BP22,2)</f>
        <v>0</v>
      </c>
      <c r="CE30" s="14" t="s">
        <v>8</v>
      </c>
      <c r="CF30" s="13">
        <f>COUNTIF(CF3:CF22,2)</f>
        <v>0</v>
      </c>
    </row>
    <row r="31" spans="1:87">
      <c r="A31" s="315"/>
      <c r="B31" s="12" t="s">
        <v>7</v>
      </c>
      <c r="C31" s="2">
        <f>COUNTIF(J3:J22,"гармонич.")</f>
        <v>8</v>
      </c>
      <c r="D31" s="360"/>
      <c r="Y31" s="11" t="s">
        <v>6</v>
      </c>
      <c r="Z31" s="10">
        <f>COUNTIF(Z3:Z22,"осв.")</f>
        <v>0</v>
      </c>
      <c r="AU31" s="11" t="s">
        <v>6</v>
      </c>
      <c r="AV31" s="10">
        <f>COUNTIF(AV3:AV22,"осв.")</f>
        <v>0</v>
      </c>
      <c r="BO31" s="11" t="s">
        <v>6</v>
      </c>
      <c r="BP31" s="10">
        <f>COUNTIF(BP3:BP22,"осв.")</f>
        <v>0</v>
      </c>
      <c r="CE31" s="11" t="s">
        <v>6</v>
      </c>
      <c r="CF31" s="10">
        <f>COUNTIF(CF3:CF22,"осв.")</f>
        <v>1</v>
      </c>
    </row>
    <row r="32" spans="1:87">
      <c r="A32" s="315"/>
      <c r="B32" s="9" t="s">
        <v>5</v>
      </c>
      <c r="C32" s="2">
        <f>COUNTIF(J3:J22,"гарм.(+)")</f>
        <v>0</v>
      </c>
      <c r="D32" s="361"/>
      <c r="Y32" s="8"/>
      <c r="Z32" s="7" t="s">
        <v>4</v>
      </c>
      <c r="AU32" s="8"/>
      <c r="AV32" s="7" t="s">
        <v>4</v>
      </c>
      <c r="BO32" s="8"/>
      <c r="BP32" s="7" t="s">
        <v>4</v>
      </c>
      <c r="CE32" s="8"/>
      <c r="CF32" s="7" t="s">
        <v>4</v>
      </c>
    </row>
    <row r="33" spans="1:86">
      <c r="A33" s="315"/>
      <c r="B33" s="6" t="s">
        <v>3</v>
      </c>
      <c r="C33" s="2">
        <f>COUNTIF(J3:J22,"тучное")</f>
        <v>5</v>
      </c>
      <c r="D33" s="2">
        <f>C33*100/C28</f>
        <v>26.315789473684209</v>
      </c>
      <c r="Y33" s="3" t="s">
        <v>2</v>
      </c>
      <c r="Z33" s="2">
        <f>AA33*100/Z26</f>
        <v>35</v>
      </c>
      <c r="AA33" s="5">
        <v>7</v>
      </c>
      <c r="AB33" s="4"/>
      <c r="AU33" s="3" t="s">
        <v>2</v>
      </c>
      <c r="AV33" s="133">
        <f>AX33*100/AV26</f>
        <v>10</v>
      </c>
      <c r="AW33" s="229"/>
      <c r="AX33" s="132">
        <f>COUNTIF(AX3:AX22,5)</f>
        <v>2</v>
      </c>
      <c r="BO33" s="3" t="s">
        <v>2</v>
      </c>
      <c r="BP33" s="133">
        <f>BR33*100/BP26</f>
        <v>0</v>
      </c>
      <c r="BQ33" s="229"/>
      <c r="BR33" s="132">
        <v>0</v>
      </c>
      <c r="BS33" s="5"/>
      <c r="CE33" s="3" t="s">
        <v>2</v>
      </c>
      <c r="CF33" s="2">
        <f>CH33*100/CF26</f>
        <v>5.2631578947368425</v>
      </c>
      <c r="CH33" s="5">
        <v>1</v>
      </c>
    </row>
    <row r="34" spans="1:86">
      <c r="A34" s="315"/>
      <c r="B34" s="322"/>
      <c r="C34" s="315"/>
      <c r="D34" s="315"/>
      <c r="Y34" s="3" t="s">
        <v>1</v>
      </c>
      <c r="Z34" s="2">
        <f>(Z27+Z28+Z31)/Z26*100</f>
        <v>85</v>
      </c>
      <c r="AU34" s="3" t="s">
        <v>1</v>
      </c>
      <c r="AV34" s="2">
        <f>(AV27+AV28+AV31)/AV26*100</f>
        <v>90</v>
      </c>
      <c r="BO34" s="3" t="s">
        <v>1</v>
      </c>
      <c r="BP34" s="2">
        <f>(BP27+BP28+BP31)/BP26*100</f>
        <v>75</v>
      </c>
      <c r="CE34" s="3" t="s">
        <v>1</v>
      </c>
      <c r="CF34" s="2">
        <f>(CF27+CF28+CF31)/CF26*100</f>
        <v>78.94736842105263</v>
      </c>
    </row>
    <row r="35" spans="1:86">
      <c r="A35" s="315"/>
      <c r="B35" s="323"/>
      <c r="C35" s="315"/>
      <c r="D35" s="315"/>
      <c r="Y35" s="3" t="s">
        <v>0</v>
      </c>
      <c r="Z35" s="2">
        <f>(Z27+Z28+Z29-Z30+Z31)*100/Z26</f>
        <v>95</v>
      </c>
      <c r="AU35" s="3" t="s">
        <v>0</v>
      </c>
      <c r="AV35" s="2">
        <f>(AV27+AV28+AV29-AV30+AV31)*100/AV26</f>
        <v>95</v>
      </c>
      <c r="BO35" s="3" t="s">
        <v>0</v>
      </c>
      <c r="BP35" s="2">
        <f>(BP27+BP28+BP29-BP30+BP31)*100/BP26</f>
        <v>95</v>
      </c>
      <c r="CE35" s="3" t="s">
        <v>0</v>
      </c>
      <c r="CF35" s="2">
        <f>(CF27+CF28+CF29-CF30+CF31)*100/CF26</f>
        <v>100</v>
      </c>
    </row>
  </sheetData>
  <mergeCells count="6">
    <mergeCell ref="BF1:BN1"/>
    <mergeCell ref="D30:D32"/>
    <mergeCell ref="A1:K1"/>
    <mergeCell ref="L1:AA1"/>
    <mergeCell ref="AB1:AX1"/>
    <mergeCell ref="AZ1:BE1"/>
  </mergeCells>
  <printOptions gridLines="1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J47"/>
  <sheetViews>
    <sheetView workbookViewId="0">
      <selection activeCell="A3" sqref="A3"/>
    </sheetView>
  </sheetViews>
  <sheetFormatPr defaultColWidth="8.42578125" defaultRowHeight="12.75"/>
  <cols>
    <col min="1" max="1" width="11" style="1" customWidth="1"/>
    <col min="2" max="2" width="17.42578125" style="1" customWidth="1"/>
    <col min="3" max="3" width="10.5703125" style="1" customWidth="1"/>
    <col min="4" max="4" width="9.5703125" style="1" customWidth="1"/>
    <col min="5" max="9" width="8" style="1" customWidth="1"/>
    <col min="10" max="10" width="9.5703125" style="1" customWidth="1"/>
    <col min="11" max="11" width="8" style="1" customWidth="1"/>
    <col min="12" max="12" width="19.42578125" style="1" customWidth="1"/>
    <col min="13" max="13" width="6" style="1" customWidth="1"/>
    <col min="14" max="14" width="5.42578125" style="1" customWidth="1"/>
    <col min="15" max="15" width="6.42578125" style="1" customWidth="1"/>
    <col min="16" max="16" width="5.5703125" style="1" customWidth="1"/>
    <col min="17" max="17" width="5.140625" style="1" customWidth="1"/>
    <col min="18" max="18" width="5.42578125" style="1" customWidth="1"/>
    <col min="19" max="20" width="5.140625" style="1" customWidth="1"/>
    <col min="21" max="21" width="6" style="1" customWidth="1"/>
    <col min="22" max="22" width="5.140625" style="1" customWidth="1"/>
    <col min="23" max="23" width="5" style="1" customWidth="1"/>
    <col min="24" max="24" width="6.140625" style="1" customWidth="1"/>
    <col min="25" max="25" width="9.28515625" style="1" customWidth="1"/>
    <col min="26" max="26" width="7.140625" style="1" customWidth="1"/>
    <col min="27" max="27" width="6.85546875" style="1" customWidth="1"/>
    <col min="28" max="28" width="18.7109375" style="1" customWidth="1"/>
    <col min="29" max="30" width="5.7109375" style="92" customWidth="1"/>
    <col min="31" max="31" width="5.42578125" style="92" customWidth="1"/>
    <col min="32" max="33" width="5.7109375" style="92" customWidth="1"/>
    <col min="34" max="34" width="6.140625" style="92" customWidth="1"/>
    <col min="35" max="46" width="5.7109375" style="92" customWidth="1"/>
    <col min="47" max="47" width="8.7109375" style="92" customWidth="1"/>
    <col min="48" max="48" width="6.85546875" style="92" customWidth="1"/>
    <col min="49" max="49" width="7.140625" style="92" customWidth="1"/>
    <col min="50" max="50" width="5.7109375" style="92" customWidth="1"/>
    <col min="51" max="51" width="18.5703125" style="92" customWidth="1"/>
    <col min="52" max="57" width="5.7109375" style="92" customWidth="1"/>
    <col min="58" max="58" width="4.85546875" style="92" customWidth="1"/>
    <col min="59" max="60" width="5.7109375" style="92" customWidth="1"/>
    <col min="61" max="61" width="4.85546875" style="92" customWidth="1"/>
    <col min="62" max="62" width="4.5703125" style="92" customWidth="1"/>
    <col min="63" max="63" width="5.7109375" style="92" customWidth="1"/>
    <col min="64" max="64" width="4.7109375" style="92" customWidth="1"/>
    <col min="65" max="66" width="5.7109375" style="92" customWidth="1"/>
    <col min="67" max="67" width="8.85546875" style="92" customWidth="1"/>
    <col min="68" max="68" width="7.140625" style="92" customWidth="1"/>
    <col min="69" max="82" width="5.7109375" style="92" customWidth="1"/>
    <col min="83" max="83" width="6.5703125" style="92" customWidth="1"/>
    <col min="84" max="84" width="6.85546875" style="92" customWidth="1"/>
    <col min="85" max="86" width="6.140625" style="1" customWidth="1"/>
    <col min="87" max="87" width="18.85546875" style="1" customWidth="1"/>
    <col min="88" max="258" width="8.42578125" style="1"/>
    <col min="259" max="259" width="11" style="1" customWidth="1"/>
    <col min="260" max="260" width="17.42578125" style="1" customWidth="1"/>
    <col min="261" max="261" width="10.5703125" style="1" customWidth="1"/>
    <col min="262" max="262" width="9.5703125" style="1" customWidth="1"/>
    <col min="263" max="267" width="8" style="1" customWidth="1"/>
    <col min="268" max="268" width="9.5703125" style="1" customWidth="1"/>
    <col min="269" max="269" width="8" style="1" customWidth="1"/>
    <col min="270" max="270" width="19.42578125" style="1" customWidth="1"/>
    <col min="271" max="271" width="6" style="1" customWidth="1"/>
    <col min="272" max="272" width="5.42578125" style="1" customWidth="1"/>
    <col min="273" max="273" width="6.42578125" style="1" customWidth="1"/>
    <col min="274" max="274" width="5.5703125" style="1" customWidth="1"/>
    <col min="275" max="275" width="5.140625" style="1" customWidth="1"/>
    <col min="276" max="276" width="5.42578125" style="1" customWidth="1"/>
    <col min="277" max="278" width="5.140625" style="1" customWidth="1"/>
    <col min="279" max="279" width="6" style="1" customWidth="1"/>
    <col min="280" max="280" width="5.140625" style="1" customWidth="1"/>
    <col min="281" max="281" width="5" style="1" customWidth="1"/>
    <col min="282" max="282" width="6.140625" style="1" customWidth="1"/>
    <col min="283" max="283" width="9.28515625" style="1" customWidth="1"/>
    <col min="284" max="284" width="7.140625" style="1" customWidth="1"/>
    <col min="285" max="285" width="6.85546875" style="1" customWidth="1"/>
    <col min="286" max="286" width="18.7109375" style="1" customWidth="1"/>
    <col min="287" max="288" width="5.7109375" style="1" customWidth="1"/>
    <col min="289" max="289" width="5.42578125" style="1" customWidth="1"/>
    <col min="290" max="291" width="5.7109375" style="1" customWidth="1"/>
    <col min="292" max="292" width="6.140625" style="1" customWidth="1"/>
    <col min="293" max="304" width="5.7109375" style="1" customWidth="1"/>
    <col min="305" max="305" width="8.7109375" style="1" customWidth="1"/>
    <col min="306" max="306" width="6.85546875" style="1" customWidth="1"/>
    <col min="307" max="307" width="7.140625" style="1" customWidth="1"/>
    <col min="308" max="308" width="5.7109375" style="1" customWidth="1"/>
    <col min="309" max="309" width="18.5703125" style="1" customWidth="1"/>
    <col min="310" max="315" width="5.7109375" style="1" customWidth="1"/>
    <col min="316" max="316" width="4.85546875" style="1" customWidth="1"/>
    <col min="317" max="318" width="5.7109375" style="1" customWidth="1"/>
    <col min="319" max="319" width="4.85546875" style="1" customWidth="1"/>
    <col min="320" max="320" width="4.5703125" style="1" customWidth="1"/>
    <col min="321" max="321" width="5.7109375" style="1" customWidth="1"/>
    <col min="322" max="322" width="4.7109375" style="1" customWidth="1"/>
    <col min="323" max="324" width="5.7109375" style="1" customWidth="1"/>
    <col min="325" max="325" width="6.5703125" style="1" customWidth="1"/>
    <col min="326" max="326" width="7.140625" style="1" customWidth="1"/>
    <col min="327" max="339" width="5.7109375" style="1" customWidth="1"/>
    <col min="340" max="340" width="6.5703125" style="1" customWidth="1"/>
    <col min="341" max="341" width="6.85546875" style="1" customWidth="1"/>
    <col min="342" max="342" width="6.140625" style="1" customWidth="1"/>
    <col min="343" max="343" width="18.85546875" style="1" customWidth="1"/>
    <col min="344" max="514" width="8.42578125" style="1"/>
    <col min="515" max="515" width="11" style="1" customWidth="1"/>
    <col min="516" max="516" width="17.42578125" style="1" customWidth="1"/>
    <col min="517" max="517" width="10.5703125" style="1" customWidth="1"/>
    <col min="518" max="518" width="9.5703125" style="1" customWidth="1"/>
    <col min="519" max="523" width="8" style="1" customWidth="1"/>
    <col min="524" max="524" width="9.5703125" style="1" customWidth="1"/>
    <col min="525" max="525" width="8" style="1" customWidth="1"/>
    <col min="526" max="526" width="19.42578125" style="1" customWidth="1"/>
    <col min="527" max="527" width="6" style="1" customWidth="1"/>
    <col min="528" max="528" width="5.42578125" style="1" customWidth="1"/>
    <col min="529" max="529" width="6.42578125" style="1" customWidth="1"/>
    <col min="530" max="530" width="5.5703125" style="1" customWidth="1"/>
    <col min="531" max="531" width="5.140625" style="1" customWidth="1"/>
    <col min="532" max="532" width="5.42578125" style="1" customWidth="1"/>
    <col min="533" max="534" width="5.140625" style="1" customWidth="1"/>
    <col min="535" max="535" width="6" style="1" customWidth="1"/>
    <col min="536" max="536" width="5.140625" style="1" customWidth="1"/>
    <col min="537" max="537" width="5" style="1" customWidth="1"/>
    <col min="538" max="538" width="6.140625" style="1" customWidth="1"/>
    <col min="539" max="539" width="9.28515625" style="1" customWidth="1"/>
    <col min="540" max="540" width="7.140625" style="1" customWidth="1"/>
    <col min="541" max="541" width="6.85546875" style="1" customWidth="1"/>
    <col min="542" max="542" width="18.7109375" style="1" customWidth="1"/>
    <col min="543" max="544" width="5.7109375" style="1" customWidth="1"/>
    <col min="545" max="545" width="5.42578125" style="1" customWidth="1"/>
    <col min="546" max="547" width="5.7109375" style="1" customWidth="1"/>
    <col min="548" max="548" width="6.140625" style="1" customWidth="1"/>
    <col min="549" max="560" width="5.7109375" style="1" customWidth="1"/>
    <col min="561" max="561" width="8.7109375" style="1" customWidth="1"/>
    <col min="562" max="562" width="6.85546875" style="1" customWidth="1"/>
    <col min="563" max="563" width="7.140625" style="1" customWidth="1"/>
    <col min="564" max="564" width="5.7109375" style="1" customWidth="1"/>
    <col min="565" max="565" width="18.5703125" style="1" customWidth="1"/>
    <col min="566" max="571" width="5.7109375" style="1" customWidth="1"/>
    <col min="572" max="572" width="4.85546875" style="1" customWidth="1"/>
    <col min="573" max="574" width="5.7109375" style="1" customWidth="1"/>
    <col min="575" max="575" width="4.85546875" style="1" customWidth="1"/>
    <col min="576" max="576" width="4.5703125" style="1" customWidth="1"/>
    <col min="577" max="577" width="5.7109375" style="1" customWidth="1"/>
    <col min="578" max="578" width="4.7109375" style="1" customWidth="1"/>
    <col min="579" max="580" width="5.7109375" style="1" customWidth="1"/>
    <col min="581" max="581" width="6.5703125" style="1" customWidth="1"/>
    <col min="582" max="582" width="7.140625" style="1" customWidth="1"/>
    <col min="583" max="595" width="5.7109375" style="1" customWidth="1"/>
    <col min="596" max="596" width="6.5703125" style="1" customWidth="1"/>
    <col min="597" max="597" width="6.85546875" style="1" customWidth="1"/>
    <col min="598" max="598" width="6.140625" style="1" customWidth="1"/>
    <col min="599" max="599" width="18.85546875" style="1" customWidth="1"/>
    <col min="600" max="770" width="8.42578125" style="1"/>
    <col min="771" max="771" width="11" style="1" customWidth="1"/>
    <col min="772" max="772" width="17.42578125" style="1" customWidth="1"/>
    <col min="773" max="773" width="10.5703125" style="1" customWidth="1"/>
    <col min="774" max="774" width="9.5703125" style="1" customWidth="1"/>
    <col min="775" max="779" width="8" style="1" customWidth="1"/>
    <col min="780" max="780" width="9.5703125" style="1" customWidth="1"/>
    <col min="781" max="781" width="8" style="1" customWidth="1"/>
    <col min="782" max="782" width="19.42578125" style="1" customWidth="1"/>
    <col min="783" max="783" width="6" style="1" customWidth="1"/>
    <col min="784" max="784" width="5.42578125" style="1" customWidth="1"/>
    <col min="785" max="785" width="6.42578125" style="1" customWidth="1"/>
    <col min="786" max="786" width="5.5703125" style="1" customWidth="1"/>
    <col min="787" max="787" width="5.140625" style="1" customWidth="1"/>
    <col min="788" max="788" width="5.42578125" style="1" customWidth="1"/>
    <col min="789" max="790" width="5.140625" style="1" customWidth="1"/>
    <col min="791" max="791" width="6" style="1" customWidth="1"/>
    <col min="792" max="792" width="5.140625" style="1" customWidth="1"/>
    <col min="793" max="793" width="5" style="1" customWidth="1"/>
    <col min="794" max="794" width="6.140625" style="1" customWidth="1"/>
    <col min="795" max="795" width="9.28515625" style="1" customWidth="1"/>
    <col min="796" max="796" width="7.140625" style="1" customWidth="1"/>
    <col min="797" max="797" width="6.85546875" style="1" customWidth="1"/>
    <col min="798" max="798" width="18.7109375" style="1" customWidth="1"/>
    <col min="799" max="800" width="5.7109375" style="1" customWidth="1"/>
    <col min="801" max="801" width="5.42578125" style="1" customWidth="1"/>
    <col min="802" max="803" width="5.7109375" style="1" customWidth="1"/>
    <col min="804" max="804" width="6.140625" style="1" customWidth="1"/>
    <col min="805" max="816" width="5.7109375" style="1" customWidth="1"/>
    <col min="817" max="817" width="8.7109375" style="1" customWidth="1"/>
    <col min="818" max="818" width="6.85546875" style="1" customWidth="1"/>
    <col min="819" max="819" width="7.140625" style="1" customWidth="1"/>
    <col min="820" max="820" width="5.7109375" style="1" customWidth="1"/>
    <col min="821" max="821" width="18.5703125" style="1" customWidth="1"/>
    <col min="822" max="827" width="5.7109375" style="1" customWidth="1"/>
    <col min="828" max="828" width="4.85546875" style="1" customWidth="1"/>
    <col min="829" max="830" width="5.7109375" style="1" customWidth="1"/>
    <col min="831" max="831" width="4.85546875" style="1" customWidth="1"/>
    <col min="832" max="832" width="4.5703125" style="1" customWidth="1"/>
    <col min="833" max="833" width="5.7109375" style="1" customWidth="1"/>
    <col min="834" max="834" width="4.7109375" style="1" customWidth="1"/>
    <col min="835" max="836" width="5.7109375" style="1" customWidth="1"/>
    <col min="837" max="837" width="6.5703125" style="1" customWidth="1"/>
    <col min="838" max="838" width="7.140625" style="1" customWidth="1"/>
    <col min="839" max="851" width="5.7109375" style="1" customWidth="1"/>
    <col min="852" max="852" width="6.5703125" style="1" customWidth="1"/>
    <col min="853" max="853" width="6.85546875" style="1" customWidth="1"/>
    <col min="854" max="854" width="6.140625" style="1" customWidth="1"/>
    <col min="855" max="855" width="18.85546875" style="1" customWidth="1"/>
    <col min="856" max="1026" width="8.42578125" style="1"/>
    <col min="1027" max="1027" width="11" style="1" customWidth="1"/>
    <col min="1028" max="1028" width="17.42578125" style="1" customWidth="1"/>
    <col min="1029" max="1029" width="10.5703125" style="1" customWidth="1"/>
    <col min="1030" max="1030" width="9.5703125" style="1" customWidth="1"/>
    <col min="1031" max="1035" width="8" style="1" customWidth="1"/>
    <col min="1036" max="1036" width="9.5703125" style="1" customWidth="1"/>
    <col min="1037" max="1037" width="8" style="1" customWidth="1"/>
    <col min="1038" max="1038" width="19.42578125" style="1" customWidth="1"/>
    <col min="1039" max="1039" width="6" style="1" customWidth="1"/>
    <col min="1040" max="1040" width="5.42578125" style="1" customWidth="1"/>
    <col min="1041" max="1041" width="6.42578125" style="1" customWidth="1"/>
    <col min="1042" max="1042" width="5.5703125" style="1" customWidth="1"/>
    <col min="1043" max="1043" width="5.140625" style="1" customWidth="1"/>
    <col min="1044" max="1044" width="5.42578125" style="1" customWidth="1"/>
    <col min="1045" max="1046" width="5.140625" style="1" customWidth="1"/>
    <col min="1047" max="1047" width="6" style="1" customWidth="1"/>
    <col min="1048" max="1048" width="5.140625" style="1" customWidth="1"/>
    <col min="1049" max="1049" width="5" style="1" customWidth="1"/>
    <col min="1050" max="1050" width="6.140625" style="1" customWidth="1"/>
    <col min="1051" max="1051" width="9.28515625" style="1" customWidth="1"/>
    <col min="1052" max="1052" width="7.140625" style="1" customWidth="1"/>
    <col min="1053" max="1053" width="6.85546875" style="1" customWidth="1"/>
    <col min="1054" max="1054" width="18.7109375" style="1" customWidth="1"/>
    <col min="1055" max="1056" width="5.7109375" style="1" customWidth="1"/>
    <col min="1057" max="1057" width="5.42578125" style="1" customWidth="1"/>
    <col min="1058" max="1059" width="5.7109375" style="1" customWidth="1"/>
    <col min="1060" max="1060" width="6.140625" style="1" customWidth="1"/>
    <col min="1061" max="1072" width="5.7109375" style="1" customWidth="1"/>
    <col min="1073" max="1073" width="8.7109375" style="1" customWidth="1"/>
    <col min="1074" max="1074" width="6.85546875" style="1" customWidth="1"/>
    <col min="1075" max="1075" width="7.140625" style="1" customWidth="1"/>
    <col min="1076" max="1076" width="5.7109375" style="1" customWidth="1"/>
    <col min="1077" max="1077" width="18.5703125" style="1" customWidth="1"/>
    <col min="1078" max="1083" width="5.7109375" style="1" customWidth="1"/>
    <col min="1084" max="1084" width="4.85546875" style="1" customWidth="1"/>
    <col min="1085" max="1086" width="5.7109375" style="1" customWidth="1"/>
    <col min="1087" max="1087" width="4.85546875" style="1" customWidth="1"/>
    <col min="1088" max="1088" width="4.5703125" style="1" customWidth="1"/>
    <col min="1089" max="1089" width="5.7109375" style="1" customWidth="1"/>
    <col min="1090" max="1090" width="4.7109375" style="1" customWidth="1"/>
    <col min="1091" max="1092" width="5.7109375" style="1" customWidth="1"/>
    <col min="1093" max="1093" width="6.5703125" style="1" customWidth="1"/>
    <col min="1094" max="1094" width="7.140625" style="1" customWidth="1"/>
    <col min="1095" max="1107" width="5.7109375" style="1" customWidth="1"/>
    <col min="1108" max="1108" width="6.5703125" style="1" customWidth="1"/>
    <col min="1109" max="1109" width="6.85546875" style="1" customWidth="1"/>
    <col min="1110" max="1110" width="6.140625" style="1" customWidth="1"/>
    <col min="1111" max="1111" width="18.85546875" style="1" customWidth="1"/>
    <col min="1112" max="1282" width="8.42578125" style="1"/>
    <col min="1283" max="1283" width="11" style="1" customWidth="1"/>
    <col min="1284" max="1284" width="17.42578125" style="1" customWidth="1"/>
    <col min="1285" max="1285" width="10.5703125" style="1" customWidth="1"/>
    <col min="1286" max="1286" width="9.5703125" style="1" customWidth="1"/>
    <col min="1287" max="1291" width="8" style="1" customWidth="1"/>
    <col min="1292" max="1292" width="9.5703125" style="1" customWidth="1"/>
    <col min="1293" max="1293" width="8" style="1" customWidth="1"/>
    <col min="1294" max="1294" width="19.42578125" style="1" customWidth="1"/>
    <col min="1295" max="1295" width="6" style="1" customWidth="1"/>
    <col min="1296" max="1296" width="5.42578125" style="1" customWidth="1"/>
    <col min="1297" max="1297" width="6.42578125" style="1" customWidth="1"/>
    <col min="1298" max="1298" width="5.5703125" style="1" customWidth="1"/>
    <col min="1299" max="1299" width="5.140625" style="1" customWidth="1"/>
    <col min="1300" max="1300" width="5.42578125" style="1" customWidth="1"/>
    <col min="1301" max="1302" width="5.140625" style="1" customWidth="1"/>
    <col min="1303" max="1303" width="6" style="1" customWidth="1"/>
    <col min="1304" max="1304" width="5.140625" style="1" customWidth="1"/>
    <col min="1305" max="1305" width="5" style="1" customWidth="1"/>
    <col min="1306" max="1306" width="6.140625" style="1" customWidth="1"/>
    <col min="1307" max="1307" width="9.28515625" style="1" customWidth="1"/>
    <col min="1308" max="1308" width="7.140625" style="1" customWidth="1"/>
    <col min="1309" max="1309" width="6.85546875" style="1" customWidth="1"/>
    <col min="1310" max="1310" width="18.7109375" style="1" customWidth="1"/>
    <col min="1311" max="1312" width="5.7109375" style="1" customWidth="1"/>
    <col min="1313" max="1313" width="5.42578125" style="1" customWidth="1"/>
    <col min="1314" max="1315" width="5.7109375" style="1" customWidth="1"/>
    <col min="1316" max="1316" width="6.140625" style="1" customWidth="1"/>
    <col min="1317" max="1328" width="5.7109375" style="1" customWidth="1"/>
    <col min="1329" max="1329" width="8.7109375" style="1" customWidth="1"/>
    <col min="1330" max="1330" width="6.85546875" style="1" customWidth="1"/>
    <col min="1331" max="1331" width="7.140625" style="1" customWidth="1"/>
    <col min="1332" max="1332" width="5.7109375" style="1" customWidth="1"/>
    <col min="1333" max="1333" width="18.5703125" style="1" customWidth="1"/>
    <col min="1334" max="1339" width="5.7109375" style="1" customWidth="1"/>
    <col min="1340" max="1340" width="4.85546875" style="1" customWidth="1"/>
    <col min="1341" max="1342" width="5.7109375" style="1" customWidth="1"/>
    <col min="1343" max="1343" width="4.85546875" style="1" customWidth="1"/>
    <col min="1344" max="1344" width="4.5703125" style="1" customWidth="1"/>
    <col min="1345" max="1345" width="5.7109375" style="1" customWidth="1"/>
    <col min="1346" max="1346" width="4.7109375" style="1" customWidth="1"/>
    <col min="1347" max="1348" width="5.7109375" style="1" customWidth="1"/>
    <col min="1349" max="1349" width="6.5703125" style="1" customWidth="1"/>
    <col min="1350" max="1350" width="7.140625" style="1" customWidth="1"/>
    <col min="1351" max="1363" width="5.7109375" style="1" customWidth="1"/>
    <col min="1364" max="1364" width="6.5703125" style="1" customWidth="1"/>
    <col min="1365" max="1365" width="6.85546875" style="1" customWidth="1"/>
    <col min="1366" max="1366" width="6.140625" style="1" customWidth="1"/>
    <col min="1367" max="1367" width="18.85546875" style="1" customWidth="1"/>
    <col min="1368" max="1538" width="8.42578125" style="1"/>
    <col min="1539" max="1539" width="11" style="1" customWidth="1"/>
    <col min="1540" max="1540" width="17.42578125" style="1" customWidth="1"/>
    <col min="1541" max="1541" width="10.5703125" style="1" customWidth="1"/>
    <col min="1542" max="1542" width="9.5703125" style="1" customWidth="1"/>
    <col min="1543" max="1547" width="8" style="1" customWidth="1"/>
    <col min="1548" max="1548" width="9.5703125" style="1" customWidth="1"/>
    <col min="1549" max="1549" width="8" style="1" customWidth="1"/>
    <col min="1550" max="1550" width="19.42578125" style="1" customWidth="1"/>
    <col min="1551" max="1551" width="6" style="1" customWidth="1"/>
    <col min="1552" max="1552" width="5.42578125" style="1" customWidth="1"/>
    <col min="1553" max="1553" width="6.42578125" style="1" customWidth="1"/>
    <col min="1554" max="1554" width="5.5703125" style="1" customWidth="1"/>
    <col min="1555" max="1555" width="5.140625" style="1" customWidth="1"/>
    <col min="1556" max="1556" width="5.42578125" style="1" customWidth="1"/>
    <col min="1557" max="1558" width="5.140625" style="1" customWidth="1"/>
    <col min="1559" max="1559" width="6" style="1" customWidth="1"/>
    <col min="1560" max="1560" width="5.140625" style="1" customWidth="1"/>
    <col min="1561" max="1561" width="5" style="1" customWidth="1"/>
    <col min="1562" max="1562" width="6.140625" style="1" customWidth="1"/>
    <col min="1563" max="1563" width="9.28515625" style="1" customWidth="1"/>
    <col min="1564" max="1564" width="7.140625" style="1" customWidth="1"/>
    <col min="1565" max="1565" width="6.85546875" style="1" customWidth="1"/>
    <col min="1566" max="1566" width="18.7109375" style="1" customWidth="1"/>
    <col min="1567" max="1568" width="5.7109375" style="1" customWidth="1"/>
    <col min="1569" max="1569" width="5.42578125" style="1" customWidth="1"/>
    <col min="1570" max="1571" width="5.7109375" style="1" customWidth="1"/>
    <col min="1572" max="1572" width="6.140625" style="1" customWidth="1"/>
    <col min="1573" max="1584" width="5.7109375" style="1" customWidth="1"/>
    <col min="1585" max="1585" width="8.7109375" style="1" customWidth="1"/>
    <col min="1586" max="1586" width="6.85546875" style="1" customWidth="1"/>
    <col min="1587" max="1587" width="7.140625" style="1" customWidth="1"/>
    <col min="1588" max="1588" width="5.7109375" style="1" customWidth="1"/>
    <col min="1589" max="1589" width="18.5703125" style="1" customWidth="1"/>
    <col min="1590" max="1595" width="5.7109375" style="1" customWidth="1"/>
    <col min="1596" max="1596" width="4.85546875" style="1" customWidth="1"/>
    <col min="1597" max="1598" width="5.7109375" style="1" customWidth="1"/>
    <col min="1599" max="1599" width="4.85546875" style="1" customWidth="1"/>
    <col min="1600" max="1600" width="4.5703125" style="1" customWidth="1"/>
    <col min="1601" max="1601" width="5.7109375" style="1" customWidth="1"/>
    <col min="1602" max="1602" width="4.7109375" style="1" customWidth="1"/>
    <col min="1603" max="1604" width="5.7109375" style="1" customWidth="1"/>
    <col min="1605" max="1605" width="6.5703125" style="1" customWidth="1"/>
    <col min="1606" max="1606" width="7.140625" style="1" customWidth="1"/>
    <col min="1607" max="1619" width="5.7109375" style="1" customWidth="1"/>
    <col min="1620" max="1620" width="6.5703125" style="1" customWidth="1"/>
    <col min="1621" max="1621" width="6.85546875" style="1" customWidth="1"/>
    <col min="1622" max="1622" width="6.140625" style="1" customWidth="1"/>
    <col min="1623" max="1623" width="18.85546875" style="1" customWidth="1"/>
    <col min="1624" max="1794" width="8.42578125" style="1"/>
    <col min="1795" max="1795" width="11" style="1" customWidth="1"/>
    <col min="1796" max="1796" width="17.42578125" style="1" customWidth="1"/>
    <col min="1797" max="1797" width="10.5703125" style="1" customWidth="1"/>
    <col min="1798" max="1798" width="9.5703125" style="1" customWidth="1"/>
    <col min="1799" max="1803" width="8" style="1" customWidth="1"/>
    <col min="1804" max="1804" width="9.5703125" style="1" customWidth="1"/>
    <col min="1805" max="1805" width="8" style="1" customWidth="1"/>
    <col min="1806" max="1806" width="19.42578125" style="1" customWidth="1"/>
    <col min="1807" max="1807" width="6" style="1" customWidth="1"/>
    <col min="1808" max="1808" width="5.42578125" style="1" customWidth="1"/>
    <col min="1809" max="1809" width="6.42578125" style="1" customWidth="1"/>
    <col min="1810" max="1810" width="5.5703125" style="1" customWidth="1"/>
    <col min="1811" max="1811" width="5.140625" style="1" customWidth="1"/>
    <col min="1812" max="1812" width="5.42578125" style="1" customWidth="1"/>
    <col min="1813" max="1814" width="5.140625" style="1" customWidth="1"/>
    <col min="1815" max="1815" width="6" style="1" customWidth="1"/>
    <col min="1816" max="1816" width="5.140625" style="1" customWidth="1"/>
    <col min="1817" max="1817" width="5" style="1" customWidth="1"/>
    <col min="1818" max="1818" width="6.140625" style="1" customWidth="1"/>
    <col min="1819" max="1819" width="9.28515625" style="1" customWidth="1"/>
    <col min="1820" max="1820" width="7.140625" style="1" customWidth="1"/>
    <col min="1821" max="1821" width="6.85546875" style="1" customWidth="1"/>
    <col min="1822" max="1822" width="18.7109375" style="1" customWidth="1"/>
    <col min="1823" max="1824" width="5.7109375" style="1" customWidth="1"/>
    <col min="1825" max="1825" width="5.42578125" style="1" customWidth="1"/>
    <col min="1826" max="1827" width="5.7109375" style="1" customWidth="1"/>
    <col min="1828" max="1828" width="6.140625" style="1" customWidth="1"/>
    <col min="1829" max="1840" width="5.7109375" style="1" customWidth="1"/>
    <col min="1841" max="1841" width="8.7109375" style="1" customWidth="1"/>
    <col min="1842" max="1842" width="6.85546875" style="1" customWidth="1"/>
    <col min="1843" max="1843" width="7.140625" style="1" customWidth="1"/>
    <col min="1844" max="1844" width="5.7109375" style="1" customWidth="1"/>
    <col min="1845" max="1845" width="18.5703125" style="1" customWidth="1"/>
    <col min="1846" max="1851" width="5.7109375" style="1" customWidth="1"/>
    <col min="1852" max="1852" width="4.85546875" style="1" customWidth="1"/>
    <col min="1853" max="1854" width="5.7109375" style="1" customWidth="1"/>
    <col min="1855" max="1855" width="4.85546875" style="1" customWidth="1"/>
    <col min="1856" max="1856" width="4.5703125" style="1" customWidth="1"/>
    <col min="1857" max="1857" width="5.7109375" style="1" customWidth="1"/>
    <col min="1858" max="1858" width="4.7109375" style="1" customWidth="1"/>
    <col min="1859" max="1860" width="5.7109375" style="1" customWidth="1"/>
    <col min="1861" max="1861" width="6.5703125" style="1" customWidth="1"/>
    <col min="1862" max="1862" width="7.140625" style="1" customWidth="1"/>
    <col min="1863" max="1875" width="5.7109375" style="1" customWidth="1"/>
    <col min="1876" max="1876" width="6.5703125" style="1" customWidth="1"/>
    <col min="1877" max="1877" width="6.85546875" style="1" customWidth="1"/>
    <col min="1878" max="1878" width="6.140625" style="1" customWidth="1"/>
    <col min="1879" max="1879" width="18.85546875" style="1" customWidth="1"/>
    <col min="1880" max="2050" width="8.42578125" style="1"/>
    <col min="2051" max="2051" width="11" style="1" customWidth="1"/>
    <col min="2052" max="2052" width="17.42578125" style="1" customWidth="1"/>
    <col min="2053" max="2053" width="10.5703125" style="1" customWidth="1"/>
    <col min="2054" max="2054" width="9.5703125" style="1" customWidth="1"/>
    <col min="2055" max="2059" width="8" style="1" customWidth="1"/>
    <col min="2060" max="2060" width="9.5703125" style="1" customWidth="1"/>
    <col min="2061" max="2061" width="8" style="1" customWidth="1"/>
    <col min="2062" max="2062" width="19.42578125" style="1" customWidth="1"/>
    <col min="2063" max="2063" width="6" style="1" customWidth="1"/>
    <col min="2064" max="2064" width="5.42578125" style="1" customWidth="1"/>
    <col min="2065" max="2065" width="6.42578125" style="1" customWidth="1"/>
    <col min="2066" max="2066" width="5.5703125" style="1" customWidth="1"/>
    <col min="2067" max="2067" width="5.140625" style="1" customWidth="1"/>
    <col min="2068" max="2068" width="5.42578125" style="1" customWidth="1"/>
    <col min="2069" max="2070" width="5.140625" style="1" customWidth="1"/>
    <col min="2071" max="2071" width="6" style="1" customWidth="1"/>
    <col min="2072" max="2072" width="5.140625" style="1" customWidth="1"/>
    <col min="2073" max="2073" width="5" style="1" customWidth="1"/>
    <col min="2074" max="2074" width="6.140625" style="1" customWidth="1"/>
    <col min="2075" max="2075" width="9.28515625" style="1" customWidth="1"/>
    <col min="2076" max="2076" width="7.140625" style="1" customWidth="1"/>
    <col min="2077" max="2077" width="6.85546875" style="1" customWidth="1"/>
    <col min="2078" max="2078" width="18.7109375" style="1" customWidth="1"/>
    <col min="2079" max="2080" width="5.7109375" style="1" customWidth="1"/>
    <col min="2081" max="2081" width="5.42578125" style="1" customWidth="1"/>
    <col min="2082" max="2083" width="5.7109375" style="1" customWidth="1"/>
    <col min="2084" max="2084" width="6.140625" style="1" customWidth="1"/>
    <col min="2085" max="2096" width="5.7109375" style="1" customWidth="1"/>
    <col min="2097" max="2097" width="8.7109375" style="1" customWidth="1"/>
    <col min="2098" max="2098" width="6.85546875" style="1" customWidth="1"/>
    <col min="2099" max="2099" width="7.140625" style="1" customWidth="1"/>
    <col min="2100" max="2100" width="5.7109375" style="1" customWidth="1"/>
    <col min="2101" max="2101" width="18.5703125" style="1" customWidth="1"/>
    <col min="2102" max="2107" width="5.7109375" style="1" customWidth="1"/>
    <col min="2108" max="2108" width="4.85546875" style="1" customWidth="1"/>
    <col min="2109" max="2110" width="5.7109375" style="1" customWidth="1"/>
    <col min="2111" max="2111" width="4.85546875" style="1" customWidth="1"/>
    <col min="2112" max="2112" width="4.5703125" style="1" customWidth="1"/>
    <col min="2113" max="2113" width="5.7109375" style="1" customWidth="1"/>
    <col min="2114" max="2114" width="4.7109375" style="1" customWidth="1"/>
    <col min="2115" max="2116" width="5.7109375" style="1" customWidth="1"/>
    <col min="2117" max="2117" width="6.5703125" style="1" customWidth="1"/>
    <col min="2118" max="2118" width="7.140625" style="1" customWidth="1"/>
    <col min="2119" max="2131" width="5.7109375" style="1" customWidth="1"/>
    <col min="2132" max="2132" width="6.5703125" style="1" customWidth="1"/>
    <col min="2133" max="2133" width="6.85546875" style="1" customWidth="1"/>
    <col min="2134" max="2134" width="6.140625" style="1" customWidth="1"/>
    <col min="2135" max="2135" width="18.85546875" style="1" customWidth="1"/>
    <col min="2136" max="2306" width="8.42578125" style="1"/>
    <col min="2307" max="2307" width="11" style="1" customWidth="1"/>
    <col min="2308" max="2308" width="17.42578125" style="1" customWidth="1"/>
    <col min="2309" max="2309" width="10.5703125" style="1" customWidth="1"/>
    <col min="2310" max="2310" width="9.5703125" style="1" customWidth="1"/>
    <col min="2311" max="2315" width="8" style="1" customWidth="1"/>
    <col min="2316" max="2316" width="9.5703125" style="1" customWidth="1"/>
    <col min="2317" max="2317" width="8" style="1" customWidth="1"/>
    <col min="2318" max="2318" width="19.42578125" style="1" customWidth="1"/>
    <col min="2319" max="2319" width="6" style="1" customWidth="1"/>
    <col min="2320" max="2320" width="5.42578125" style="1" customWidth="1"/>
    <col min="2321" max="2321" width="6.42578125" style="1" customWidth="1"/>
    <col min="2322" max="2322" width="5.5703125" style="1" customWidth="1"/>
    <col min="2323" max="2323" width="5.140625" style="1" customWidth="1"/>
    <col min="2324" max="2324" width="5.42578125" style="1" customWidth="1"/>
    <col min="2325" max="2326" width="5.140625" style="1" customWidth="1"/>
    <col min="2327" max="2327" width="6" style="1" customWidth="1"/>
    <col min="2328" max="2328" width="5.140625" style="1" customWidth="1"/>
    <col min="2329" max="2329" width="5" style="1" customWidth="1"/>
    <col min="2330" max="2330" width="6.140625" style="1" customWidth="1"/>
    <col min="2331" max="2331" width="9.28515625" style="1" customWidth="1"/>
    <col min="2332" max="2332" width="7.140625" style="1" customWidth="1"/>
    <col min="2333" max="2333" width="6.85546875" style="1" customWidth="1"/>
    <col min="2334" max="2334" width="18.7109375" style="1" customWidth="1"/>
    <col min="2335" max="2336" width="5.7109375" style="1" customWidth="1"/>
    <col min="2337" max="2337" width="5.42578125" style="1" customWidth="1"/>
    <col min="2338" max="2339" width="5.7109375" style="1" customWidth="1"/>
    <col min="2340" max="2340" width="6.140625" style="1" customWidth="1"/>
    <col min="2341" max="2352" width="5.7109375" style="1" customWidth="1"/>
    <col min="2353" max="2353" width="8.7109375" style="1" customWidth="1"/>
    <col min="2354" max="2354" width="6.85546875" style="1" customWidth="1"/>
    <col min="2355" max="2355" width="7.140625" style="1" customWidth="1"/>
    <col min="2356" max="2356" width="5.7109375" style="1" customWidth="1"/>
    <col min="2357" max="2357" width="18.5703125" style="1" customWidth="1"/>
    <col min="2358" max="2363" width="5.7109375" style="1" customWidth="1"/>
    <col min="2364" max="2364" width="4.85546875" style="1" customWidth="1"/>
    <col min="2365" max="2366" width="5.7109375" style="1" customWidth="1"/>
    <col min="2367" max="2367" width="4.85546875" style="1" customWidth="1"/>
    <col min="2368" max="2368" width="4.5703125" style="1" customWidth="1"/>
    <col min="2369" max="2369" width="5.7109375" style="1" customWidth="1"/>
    <col min="2370" max="2370" width="4.7109375" style="1" customWidth="1"/>
    <col min="2371" max="2372" width="5.7109375" style="1" customWidth="1"/>
    <col min="2373" max="2373" width="6.5703125" style="1" customWidth="1"/>
    <col min="2374" max="2374" width="7.140625" style="1" customWidth="1"/>
    <col min="2375" max="2387" width="5.7109375" style="1" customWidth="1"/>
    <col min="2388" max="2388" width="6.5703125" style="1" customWidth="1"/>
    <col min="2389" max="2389" width="6.85546875" style="1" customWidth="1"/>
    <col min="2390" max="2390" width="6.140625" style="1" customWidth="1"/>
    <col min="2391" max="2391" width="18.85546875" style="1" customWidth="1"/>
    <col min="2392" max="2562" width="8.42578125" style="1"/>
    <col min="2563" max="2563" width="11" style="1" customWidth="1"/>
    <col min="2564" max="2564" width="17.42578125" style="1" customWidth="1"/>
    <col min="2565" max="2565" width="10.5703125" style="1" customWidth="1"/>
    <col min="2566" max="2566" width="9.5703125" style="1" customWidth="1"/>
    <col min="2567" max="2571" width="8" style="1" customWidth="1"/>
    <col min="2572" max="2572" width="9.5703125" style="1" customWidth="1"/>
    <col min="2573" max="2573" width="8" style="1" customWidth="1"/>
    <col min="2574" max="2574" width="19.42578125" style="1" customWidth="1"/>
    <col min="2575" max="2575" width="6" style="1" customWidth="1"/>
    <col min="2576" max="2576" width="5.42578125" style="1" customWidth="1"/>
    <col min="2577" max="2577" width="6.42578125" style="1" customWidth="1"/>
    <col min="2578" max="2578" width="5.5703125" style="1" customWidth="1"/>
    <col min="2579" max="2579" width="5.140625" style="1" customWidth="1"/>
    <col min="2580" max="2580" width="5.42578125" style="1" customWidth="1"/>
    <col min="2581" max="2582" width="5.140625" style="1" customWidth="1"/>
    <col min="2583" max="2583" width="6" style="1" customWidth="1"/>
    <col min="2584" max="2584" width="5.140625" style="1" customWidth="1"/>
    <col min="2585" max="2585" width="5" style="1" customWidth="1"/>
    <col min="2586" max="2586" width="6.140625" style="1" customWidth="1"/>
    <col min="2587" max="2587" width="9.28515625" style="1" customWidth="1"/>
    <col min="2588" max="2588" width="7.140625" style="1" customWidth="1"/>
    <col min="2589" max="2589" width="6.85546875" style="1" customWidth="1"/>
    <col min="2590" max="2590" width="18.7109375" style="1" customWidth="1"/>
    <col min="2591" max="2592" width="5.7109375" style="1" customWidth="1"/>
    <col min="2593" max="2593" width="5.42578125" style="1" customWidth="1"/>
    <col min="2594" max="2595" width="5.7109375" style="1" customWidth="1"/>
    <col min="2596" max="2596" width="6.140625" style="1" customWidth="1"/>
    <col min="2597" max="2608" width="5.7109375" style="1" customWidth="1"/>
    <col min="2609" max="2609" width="8.7109375" style="1" customWidth="1"/>
    <col min="2610" max="2610" width="6.85546875" style="1" customWidth="1"/>
    <col min="2611" max="2611" width="7.140625" style="1" customWidth="1"/>
    <col min="2612" max="2612" width="5.7109375" style="1" customWidth="1"/>
    <col min="2613" max="2613" width="18.5703125" style="1" customWidth="1"/>
    <col min="2614" max="2619" width="5.7109375" style="1" customWidth="1"/>
    <col min="2620" max="2620" width="4.85546875" style="1" customWidth="1"/>
    <col min="2621" max="2622" width="5.7109375" style="1" customWidth="1"/>
    <col min="2623" max="2623" width="4.85546875" style="1" customWidth="1"/>
    <col min="2624" max="2624" width="4.5703125" style="1" customWidth="1"/>
    <col min="2625" max="2625" width="5.7109375" style="1" customWidth="1"/>
    <col min="2626" max="2626" width="4.7109375" style="1" customWidth="1"/>
    <col min="2627" max="2628" width="5.7109375" style="1" customWidth="1"/>
    <col min="2629" max="2629" width="6.5703125" style="1" customWidth="1"/>
    <col min="2630" max="2630" width="7.140625" style="1" customWidth="1"/>
    <col min="2631" max="2643" width="5.7109375" style="1" customWidth="1"/>
    <col min="2644" max="2644" width="6.5703125" style="1" customWidth="1"/>
    <col min="2645" max="2645" width="6.85546875" style="1" customWidth="1"/>
    <col min="2646" max="2646" width="6.140625" style="1" customWidth="1"/>
    <col min="2647" max="2647" width="18.85546875" style="1" customWidth="1"/>
    <col min="2648" max="2818" width="8.42578125" style="1"/>
    <col min="2819" max="2819" width="11" style="1" customWidth="1"/>
    <col min="2820" max="2820" width="17.42578125" style="1" customWidth="1"/>
    <col min="2821" max="2821" width="10.5703125" style="1" customWidth="1"/>
    <col min="2822" max="2822" width="9.5703125" style="1" customWidth="1"/>
    <col min="2823" max="2827" width="8" style="1" customWidth="1"/>
    <col min="2828" max="2828" width="9.5703125" style="1" customWidth="1"/>
    <col min="2829" max="2829" width="8" style="1" customWidth="1"/>
    <col min="2830" max="2830" width="19.42578125" style="1" customWidth="1"/>
    <col min="2831" max="2831" width="6" style="1" customWidth="1"/>
    <col min="2832" max="2832" width="5.42578125" style="1" customWidth="1"/>
    <col min="2833" max="2833" width="6.42578125" style="1" customWidth="1"/>
    <col min="2834" max="2834" width="5.5703125" style="1" customWidth="1"/>
    <col min="2835" max="2835" width="5.140625" style="1" customWidth="1"/>
    <col min="2836" max="2836" width="5.42578125" style="1" customWidth="1"/>
    <col min="2837" max="2838" width="5.140625" style="1" customWidth="1"/>
    <col min="2839" max="2839" width="6" style="1" customWidth="1"/>
    <col min="2840" max="2840" width="5.140625" style="1" customWidth="1"/>
    <col min="2841" max="2841" width="5" style="1" customWidth="1"/>
    <col min="2842" max="2842" width="6.140625" style="1" customWidth="1"/>
    <col min="2843" max="2843" width="9.28515625" style="1" customWidth="1"/>
    <col min="2844" max="2844" width="7.140625" style="1" customWidth="1"/>
    <col min="2845" max="2845" width="6.85546875" style="1" customWidth="1"/>
    <col min="2846" max="2846" width="18.7109375" style="1" customWidth="1"/>
    <col min="2847" max="2848" width="5.7109375" style="1" customWidth="1"/>
    <col min="2849" max="2849" width="5.42578125" style="1" customWidth="1"/>
    <col min="2850" max="2851" width="5.7109375" style="1" customWidth="1"/>
    <col min="2852" max="2852" width="6.140625" style="1" customWidth="1"/>
    <col min="2853" max="2864" width="5.7109375" style="1" customWidth="1"/>
    <col min="2865" max="2865" width="8.7109375" style="1" customWidth="1"/>
    <col min="2866" max="2866" width="6.85546875" style="1" customWidth="1"/>
    <col min="2867" max="2867" width="7.140625" style="1" customWidth="1"/>
    <col min="2868" max="2868" width="5.7109375" style="1" customWidth="1"/>
    <col min="2869" max="2869" width="18.5703125" style="1" customWidth="1"/>
    <col min="2870" max="2875" width="5.7109375" style="1" customWidth="1"/>
    <col min="2876" max="2876" width="4.85546875" style="1" customWidth="1"/>
    <col min="2877" max="2878" width="5.7109375" style="1" customWidth="1"/>
    <col min="2879" max="2879" width="4.85546875" style="1" customWidth="1"/>
    <col min="2880" max="2880" width="4.5703125" style="1" customWidth="1"/>
    <col min="2881" max="2881" width="5.7109375" style="1" customWidth="1"/>
    <col min="2882" max="2882" width="4.7109375" style="1" customWidth="1"/>
    <col min="2883" max="2884" width="5.7109375" style="1" customWidth="1"/>
    <col min="2885" max="2885" width="6.5703125" style="1" customWidth="1"/>
    <col min="2886" max="2886" width="7.140625" style="1" customWidth="1"/>
    <col min="2887" max="2899" width="5.7109375" style="1" customWidth="1"/>
    <col min="2900" max="2900" width="6.5703125" style="1" customWidth="1"/>
    <col min="2901" max="2901" width="6.85546875" style="1" customWidth="1"/>
    <col min="2902" max="2902" width="6.140625" style="1" customWidth="1"/>
    <col min="2903" max="2903" width="18.85546875" style="1" customWidth="1"/>
    <col min="2904" max="3074" width="8.42578125" style="1"/>
    <col min="3075" max="3075" width="11" style="1" customWidth="1"/>
    <col min="3076" max="3076" width="17.42578125" style="1" customWidth="1"/>
    <col min="3077" max="3077" width="10.5703125" style="1" customWidth="1"/>
    <col min="3078" max="3078" width="9.5703125" style="1" customWidth="1"/>
    <col min="3079" max="3083" width="8" style="1" customWidth="1"/>
    <col min="3084" max="3084" width="9.5703125" style="1" customWidth="1"/>
    <col min="3085" max="3085" width="8" style="1" customWidth="1"/>
    <col min="3086" max="3086" width="19.42578125" style="1" customWidth="1"/>
    <col min="3087" max="3087" width="6" style="1" customWidth="1"/>
    <col min="3088" max="3088" width="5.42578125" style="1" customWidth="1"/>
    <col min="3089" max="3089" width="6.42578125" style="1" customWidth="1"/>
    <col min="3090" max="3090" width="5.5703125" style="1" customWidth="1"/>
    <col min="3091" max="3091" width="5.140625" style="1" customWidth="1"/>
    <col min="3092" max="3092" width="5.42578125" style="1" customWidth="1"/>
    <col min="3093" max="3094" width="5.140625" style="1" customWidth="1"/>
    <col min="3095" max="3095" width="6" style="1" customWidth="1"/>
    <col min="3096" max="3096" width="5.140625" style="1" customWidth="1"/>
    <col min="3097" max="3097" width="5" style="1" customWidth="1"/>
    <col min="3098" max="3098" width="6.140625" style="1" customWidth="1"/>
    <col min="3099" max="3099" width="9.28515625" style="1" customWidth="1"/>
    <col min="3100" max="3100" width="7.140625" style="1" customWidth="1"/>
    <col min="3101" max="3101" width="6.85546875" style="1" customWidth="1"/>
    <col min="3102" max="3102" width="18.7109375" style="1" customWidth="1"/>
    <col min="3103" max="3104" width="5.7109375" style="1" customWidth="1"/>
    <col min="3105" max="3105" width="5.42578125" style="1" customWidth="1"/>
    <col min="3106" max="3107" width="5.7109375" style="1" customWidth="1"/>
    <col min="3108" max="3108" width="6.140625" style="1" customWidth="1"/>
    <col min="3109" max="3120" width="5.7109375" style="1" customWidth="1"/>
    <col min="3121" max="3121" width="8.7109375" style="1" customWidth="1"/>
    <col min="3122" max="3122" width="6.85546875" style="1" customWidth="1"/>
    <col min="3123" max="3123" width="7.140625" style="1" customWidth="1"/>
    <col min="3124" max="3124" width="5.7109375" style="1" customWidth="1"/>
    <col min="3125" max="3125" width="18.5703125" style="1" customWidth="1"/>
    <col min="3126" max="3131" width="5.7109375" style="1" customWidth="1"/>
    <col min="3132" max="3132" width="4.85546875" style="1" customWidth="1"/>
    <col min="3133" max="3134" width="5.7109375" style="1" customWidth="1"/>
    <col min="3135" max="3135" width="4.85546875" style="1" customWidth="1"/>
    <col min="3136" max="3136" width="4.5703125" style="1" customWidth="1"/>
    <col min="3137" max="3137" width="5.7109375" style="1" customWidth="1"/>
    <col min="3138" max="3138" width="4.7109375" style="1" customWidth="1"/>
    <col min="3139" max="3140" width="5.7109375" style="1" customWidth="1"/>
    <col min="3141" max="3141" width="6.5703125" style="1" customWidth="1"/>
    <col min="3142" max="3142" width="7.140625" style="1" customWidth="1"/>
    <col min="3143" max="3155" width="5.7109375" style="1" customWidth="1"/>
    <col min="3156" max="3156" width="6.5703125" style="1" customWidth="1"/>
    <col min="3157" max="3157" width="6.85546875" style="1" customWidth="1"/>
    <col min="3158" max="3158" width="6.140625" style="1" customWidth="1"/>
    <col min="3159" max="3159" width="18.85546875" style="1" customWidth="1"/>
    <col min="3160" max="3330" width="8.42578125" style="1"/>
    <col min="3331" max="3331" width="11" style="1" customWidth="1"/>
    <col min="3332" max="3332" width="17.42578125" style="1" customWidth="1"/>
    <col min="3333" max="3333" width="10.5703125" style="1" customWidth="1"/>
    <col min="3334" max="3334" width="9.5703125" style="1" customWidth="1"/>
    <col min="3335" max="3339" width="8" style="1" customWidth="1"/>
    <col min="3340" max="3340" width="9.5703125" style="1" customWidth="1"/>
    <col min="3341" max="3341" width="8" style="1" customWidth="1"/>
    <col min="3342" max="3342" width="19.42578125" style="1" customWidth="1"/>
    <col min="3343" max="3343" width="6" style="1" customWidth="1"/>
    <col min="3344" max="3344" width="5.42578125" style="1" customWidth="1"/>
    <col min="3345" max="3345" width="6.42578125" style="1" customWidth="1"/>
    <col min="3346" max="3346" width="5.5703125" style="1" customWidth="1"/>
    <col min="3347" max="3347" width="5.140625" style="1" customWidth="1"/>
    <col min="3348" max="3348" width="5.42578125" style="1" customWidth="1"/>
    <col min="3349" max="3350" width="5.140625" style="1" customWidth="1"/>
    <col min="3351" max="3351" width="6" style="1" customWidth="1"/>
    <col min="3352" max="3352" width="5.140625" style="1" customWidth="1"/>
    <col min="3353" max="3353" width="5" style="1" customWidth="1"/>
    <col min="3354" max="3354" width="6.140625" style="1" customWidth="1"/>
    <col min="3355" max="3355" width="9.28515625" style="1" customWidth="1"/>
    <col min="3356" max="3356" width="7.140625" style="1" customWidth="1"/>
    <col min="3357" max="3357" width="6.85546875" style="1" customWidth="1"/>
    <col min="3358" max="3358" width="18.7109375" style="1" customWidth="1"/>
    <col min="3359" max="3360" width="5.7109375" style="1" customWidth="1"/>
    <col min="3361" max="3361" width="5.42578125" style="1" customWidth="1"/>
    <col min="3362" max="3363" width="5.7109375" style="1" customWidth="1"/>
    <col min="3364" max="3364" width="6.140625" style="1" customWidth="1"/>
    <col min="3365" max="3376" width="5.7109375" style="1" customWidth="1"/>
    <col min="3377" max="3377" width="8.7109375" style="1" customWidth="1"/>
    <col min="3378" max="3378" width="6.85546875" style="1" customWidth="1"/>
    <col min="3379" max="3379" width="7.140625" style="1" customWidth="1"/>
    <col min="3380" max="3380" width="5.7109375" style="1" customWidth="1"/>
    <col min="3381" max="3381" width="18.5703125" style="1" customWidth="1"/>
    <col min="3382" max="3387" width="5.7109375" style="1" customWidth="1"/>
    <col min="3388" max="3388" width="4.85546875" style="1" customWidth="1"/>
    <col min="3389" max="3390" width="5.7109375" style="1" customWidth="1"/>
    <col min="3391" max="3391" width="4.85546875" style="1" customWidth="1"/>
    <col min="3392" max="3392" width="4.5703125" style="1" customWidth="1"/>
    <col min="3393" max="3393" width="5.7109375" style="1" customWidth="1"/>
    <col min="3394" max="3394" width="4.7109375" style="1" customWidth="1"/>
    <col min="3395" max="3396" width="5.7109375" style="1" customWidth="1"/>
    <col min="3397" max="3397" width="6.5703125" style="1" customWidth="1"/>
    <col min="3398" max="3398" width="7.140625" style="1" customWidth="1"/>
    <col min="3399" max="3411" width="5.7109375" style="1" customWidth="1"/>
    <col min="3412" max="3412" width="6.5703125" style="1" customWidth="1"/>
    <col min="3413" max="3413" width="6.85546875" style="1" customWidth="1"/>
    <col min="3414" max="3414" width="6.140625" style="1" customWidth="1"/>
    <col min="3415" max="3415" width="18.85546875" style="1" customWidth="1"/>
    <col min="3416" max="3586" width="8.42578125" style="1"/>
    <col min="3587" max="3587" width="11" style="1" customWidth="1"/>
    <col min="3588" max="3588" width="17.42578125" style="1" customWidth="1"/>
    <col min="3589" max="3589" width="10.5703125" style="1" customWidth="1"/>
    <col min="3590" max="3590" width="9.5703125" style="1" customWidth="1"/>
    <col min="3591" max="3595" width="8" style="1" customWidth="1"/>
    <col min="3596" max="3596" width="9.5703125" style="1" customWidth="1"/>
    <col min="3597" max="3597" width="8" style="1" customWidth="1"/>
    <col min="3598" max="3598" width="19.42578125" style="1" customWidth="1"/>
    <col min="3599" max="3599" width="6" style="1" customWidth="1"/>
    <col min="3600" max="3600" width="5.42578125" style="1" customWidth="1"/>
    <col min="3601" max="3601" width="6.42578125" style="1" customWidth="1"/>
    <col min="3602" max="3602" width="5.5703125" style="1" customWidth="1"/>
    <col min="3603" max="3603" width="5.140625" style="1" customWidth="1"/>
    <col min="3604" max="3604" width="5.42578125" style="1" customWidth="1"/>
    <col min="3605" max="3606" width="5.140625" style="1" customWidth="1"/>
    <col min="3607" max="3607" width="6" style="1" customWidth="1"/>
    <col min="3608" max="3608" width="5.140625" style="1" customWidth="1"/>
    <col min="3609" max="3609" width="5" style="1" customWidth="1"/>
    <col min="3610" max="3610" width="6.140625" style="1" customWidth="1"/>
    <col min="3611" max="3611" width="9.28515625" style="1" customWidth="1"/>
    <col min="3612" max="3612" width="7.140625" style="1" customWidth="1"/>
    <col min="3613" max="3613" width="6.85546875" style="1" customWidth="1"/>
    <col min="3614" max="3614" width="18.7109375" style="1" customWidth="1"/>
    <col min="3615" max="3616" width="5.7109375" style="1" customWidth="1"/>
    <col min="3617" max="3617" width="5.42578125" style="1" customWidth="1"/>
    <col min="3618" max="3619" width="5.7109375" style="1" customWidth="1"/>
    <col min="3620" max="3620" width="6.140625" style="1" customWidth="1"/>
    <col min="3621" max="3632" width="5.7109375" style="1" customWidth="1"/>
    <col min="3633" max="3633" width="8.7109375" style="1" customWidth="1"/>
    <col min="3634" max="3634" width="6.85546875" style="1" customWidth="1"/>
    <col min="3635" max="3635" width="7.140625" style="1" customWidth="1"/>
    <col min="3636" max="3636" width="5.7109375" style="1" customWidth="1"/>
    <col min="3637" max="3637" width="18.5703125" style="1" customWidth="1"/>
    <col min="3638" max="3643" width="5.7109375" style="1" customWidth="1"/>
    <col min="3644" max="3644" width="4.85546875" style="1" customWidth="1"/>
    <col min="3645" max="3646" width="5.7109375" style="1" customWidth="1"/>
    <col min="3647" max="3647" width="4.85546875" style="1" customWidth="1"/>
    <col min="3648" max="3648" width="4.5703125" style="1" customWidth="1"/>
    <col min="3649" max="3649" width="5.7109375" style="1" customWidth="1"/>
    <col min="3650" max="3650" width="4.7109375" style="1" customWidth="1"/>
    <col min="3651" max="3652" width="5.7109375" style="1" customWidth="1"/>
    <col min="3653" max="3653" width="6.5703125" style="1" customWidth="1"/>
    <col min="3654" max="3654" width="7.140625" style="1" customWidth="1"/>
    <col min="3655" max="3667" width="5.7109375" style="1" customWidth="1"/>
    <col min="3668" max="3668" width="6.5703125" style="1" customWidth="1"/>
    <col min="3669" max="3669" width="6.85546875" style="1" customWidth="1"/>
    <col min="3670" max="3670" width="6.140625" style="1" customWidth="1"/>
    <col min="3671" max="3671" width="18.85546875" style="1" customWidth="1"/>
    <col min="3672" max="3842" width="8.42578125" style="1"/>
    <col min="3843" max="3843" width="11" style="1" customWidth="1"/>
    <col min="3844" max="3844" width="17.42578125" style="1" customWidth="1"/>
    <col min="3845" max="3845" width="10.5703125" style="1" customWidth="1"/>
    <col min="3846" max="3846" width="9.5703125" style="1" customWidth="1"/>
    <col min="3847" max="3851" width="8" style="1" customWidth="1"/>
    <col min="3852" max="3852" width="9.5703125" style="1" customWidth="1"/>
    <col min="3853" max="3853" width="8" style="1" customWidth="1"/>
    <col min="3854" max="3854" width="19.42578125" style="1" customWidth="1"/>
    <col min="3855" max="3855" width="6" style="1" customWidth="1"/>
    <col min="3856" max="3856" width="5.42578125" style="1" customWidth="1"/>
    <col min="3857" max="3857" width="6.42578125" style="1" customWidth="1"/>
    <col min="3858" max="3858" width="5.5703125" style="1" customWidth="1"/>
    <col min="3859" max="3859" width="5.140625" style="1" customWidth="1"/>
    <col min="3860" max="3860" width="5.42578125" style="1" customWidth="1"/>
    <col min="3861" max="3862" width="5.140625" style="1" customWidth="1"/>
    <col min="3863" max="3863" width="6" style="1" customWidth="1"/>
    <col min="3864" max="3864" width="5.140625" style="1" customWidth="1"/>
    <col min="3865" max="3865" width="5" style="1" customWidth="1"/>
    <col min="3866" max="3866" width="6.140625" style="1" customWidth="1"/>
    <col min="3867" max="3867" width="9.28515625" style="1" customWidth="1"/>
    <col min="3868" max="3868" width="7.140625" style="1" customWidth="1"/>
    <col min="3869" max="3869" width="6.85546875" style="1" customWidth="1"/>
    <col min="3870" max="3870" width="18.7109375" style="1" customWidth="1"/>
    <col min="3871" max="3872" width="5.7109375" style="1" customWidth="1"/>
    <col min="3873" max="3873" width="5.42578125" style="1" customWidth="1"/>
    <col min="3874" max="3875" width="5.7109375" style="1" customWidth="1"/>
    <col min="3876" max="3876" width="6.140625" style="1" customWidth="1"/>
    <col min="3877" max="3888" width="5.7109375" style="1" customWidth="1"/>
    <col min="3889" max="3889" width="8.7109375" style="1" customWidth="1"/>
    <col min="3890" max="3890" width="6.85546875" style="1" customWidth="1"/>
    <col min="3891" max="3891" width="7.140625" style="1" customWidth="1"/>
    <col min="3892" max="3892" width="5.7109375" style="1" customWidth="1"/>
    <col min="3893" max="3893" width="18.5703125" style="1" customWidth="1"/>
    <col min="3894" max="3899" width="5.7109375" style="1" customWidth="1"/>
    <col min="3900" max="3900" width="4.85546875" style="1" customWidth="1"/>
    <col min="3901" max="3902" width="5.7109375" style="1" customWidth="1"/>
    <col min="3903" max="3903" width="4.85546875" style="1" customWidth="1"/>
    <col min="3904" max="3904" width="4.5703125" style="1" customWidth="1"/>
    <col min="3905" max="3905" width="5.7109375" style="1" customWidth="1"/>
    <col min="3906" max="3906" width="4.7109375" style="1" customWidth="1"/>
    <col min="3907" max="3908" width="5.7109375" style="1" customWidth="1"/>
    <col min="3909" max="3909" width="6.5703125" style="1" customWidth="1"/>
    <col min="3910" max="3910" width="7.140625" style="1" customWidth="1"/>
    <col min="3911" max="3923" width="5.7109375" style="1" customWidth="1"/>
    <col min="3924" max="3924" width="6.5703125" style="1" customWidth="1"/>
    <col min="3925" max="3925" width="6.85546875" style="1" customWidth="1"/>
    <col min="3926" max="3926" width="6.140625" style="1" customWidth="1"/>
    <col min="3927" max="3927" width="18.85546875" style="1" customWidth="1"/>
    <col min="3928" max="4098" width="8.42578125" style="1"/>
    <col min="4099" max="4099" width="11" style="1" customWidth="1"/>
    <col min="4100" max="4100" width="17.42578125" style="1" customWidth="1"/>
    <col min="4101" max="4101" width="10.5703125" style="1" customWidth="1"/>
    <col min="4102" max="4102" width="9.5703125" style="1" customWidth="1"/>
    <col min="4103" max="4107" width="8" style="1" customWidth="1"/>
    <col min="4108" max="4108" width="9.5703125" style="1" customWidth="1"/>
    <col min="4109" max="4109" width="8" style="1" customWidth="1"/>
    <col min="4110" max="4110" width="19.42578125" style="1" customWidth="1"/>
    <col min="4111" max="4111" width="6" style="1" customWidth="1"/>
    <col min="4112" max="4112" width="5.42578125" style="1" customWidth="1"/>
    <col min="4113" max="4113" width="6.42578125" style="1" customWidth="1"/>
    <col min="4114" max="4114" width="5.5703125" style="1" customWidth="1"/>
    <col min="4115" max="4115" width="5.140625" style="1" customWidth="1"/>
    <col min="4116" max="4116" width="5.42578125" style="1" customWidth="1"/>
    <col min="4117" max="4118" width="5.140625" style="1" customWidth="1"/>
    <col min="4119" max="4119" width="6" style="1" customWidth="1"/>
    <col min="4120" max="4120" width="5.140625" style="1" customWidth="1"/>
    <col min="4121" max="4121" width="5" style="1" customWidth="1"/>
    <col min="4122" max="4122" width="6.140625" style="1" customWidth="1"/>
    <col min="4123" max="4123" width="9.28515625" style="1" customWidth="1"/>
    <col min="4124" max="4124" width="7.140625" style="1" customWidth="1"/>
    <col min="4125" max="4125" width="6.85546875" style="1" customWidth="1"/>
    <col min="4126" max="4126" width="18.7109375" style="1" customWidth="1"/>
    <col min="4127" max="4128" width="5.7109375" style="1" customWidth="1"/>
    <col min="4129" max="4129" width="5.42578125" style="1" customWidth="1"/>
    <col min="4130" max="4131" width="5.7109375" style="1" customWidth="1"/>
    <col min="4132" max="4132" width="6.140625" style="1" customWidth="1"/>
    <col min="4133" max="4144" width="5.7109375" style="1" customWidth="1"/>
    <col min="4145" max="4145" width="8.7109375" style="1" customWidth="1"/>
    <col min="4146" max="4146" width="6.85546875" style="1" customWidth="1"/>
    <col min="4147" max="4147" width="7.140625" style="1" customWidth="1"/>
    <col min="4148" max="4148" width="5.7109375" style="1" customWidth="1"/>
    <col min="4149" max="4149" width="18.5703125" style="1" customWidth="1"/>
    <col min="4150" max="4155" width="5.7109375" style="1" customWidth="1"/>
    <col min="4156" max="4156" width="4.85546875" style="1" customWidth="1"/>
    <col min="4157" max="4158" width="5.7109375" style="1" customWidth="1"/>
    <col min="4159" max="4159" width="4.85546875" style="1" customWidth="1"/>
    <col min="4160" max="4160" width="4.5703125" style="1" customWidth="1"/>
    <col min="4161" max="4161" width="5.7109375" style="1" customWidth="1"/>
    <col min="4162" max="4162" width="4.7109375" style="1" customWidth="1"/>
    <col min="4163" max="4164" width="5.7109375" style="1" customWidth="1"/>
    <col min="4165" max="4165" width="6.5703125" style="1" customWidth="1"/>
    <col min="4166" max="4166" width="7.140625" style="1" customWidth="1"/>
    <col min="4167" max="4179" width="5.7109375" style="1" customWidth="1"/>
    <col min="4180" max="4180" width="6.5703125" style="1" customWidth="1"/>
    <col min="4181" max="4181" width="6.85546875" style="1" customWidth="1"/>
    <col min="4182" max="4182" width="6.140625" style="1" customWidth="1"/>
    <col min="4183" max="4183" width="18.85546875" style="1" customWidth="1"/>
    <col min="4184" max="4354" width="8.42578125" style="1"/>
    <col min="4355" max="4355" width="11" style="1" customWidth="1"/>
    <col min="4356" max="4356" width="17.42578125" style="1" customWidth="1"/>
    <col min="4357" max="4357" width="10.5703125" style="1" customWidth="1"/>
    <col min="4358" max="4358" width="9.5703125" style="1" customWidth="1"/>
    <col min="4359" max="4363" width="8" style="1" customWidth="1"/>
    <col min="4364" max="4364" width="9.5703125" style="1" customWidth="1"/>
    <col min="4365" max="4365" width="8" style="1" customWidth="1"/>
    <col min="4366" max="4366" width="19.42578125" style="1" customWidth="1"/>
    <col min="4367" max="4367" width="6" style="1" customWidth="1"/>
    <col min="4368" max="4368" width="5.42578125" style="1" customWidth="1"/>
    <col min="4369" max="4369" width="6.42578125" style="1" customWidth="1"/>
    <col min="4370" max="4370" width="5.5703125" style="1" customWidth="1"/>
    <col min="4371" max="4371" width="5.140625" style="1" customWidth="1"/>
    <col min="4372" max="4372" width="5.42578125" style="1" customWidth="1"/>
    <col min="4373" max="4374" width="5.140625" style="1" customWidth="1"/>
    <col min="4375" max="4375" width="6" style="1" customWidth="1"/>
    <col min="4376" max="4376" width="5.140625" style="1" customWidth="1"/>
    <col min="4377" max="4377" width="5" style="1" customWidth="1"/>
    <col min="4378" max="4378" width="6.140625" style="1" customWidth="1"/>
    <col min="4379" max="4379" width="9.28515625" style="1" customWidth="1"/>
    <col min="4380" max="4380" width="7.140625" style="1" customWidth="1"/>
    <col min="4381" max="4381" width="6.85546875" style="1" customWidth="1"/>
    <col min="4382" max="4382" width="18.7109375" style="1" customWidth="1"/>
    <col min="4383" max="4384" width="5.7109375" style="1" customWidth="1"/>
    <col min="4385" max="4385" width="5.42578125" style="1" customWidth="1"/>
    <col min="4386" max="4387" width="5.7109375" style="1" customWidth="1"/>
    <col min="4388" max="4388" width="6.140625" style="1" customWidth="1"/>
    <col min="4389" max="4400" width="5.7109375" style="1" customWidth="1"/>
    <col min="4401" max="4401" width="8.7109375" style="1" customWidth="1"/>
    <col min="4402" max="4402" width="6.85546875" style="1" customWidth="1"/>
    <col min="4403" max="4403" width="7.140625" style="1" customWidth="1"/>
    <col min="4404" max="4404" width="5.7109375" style="1" customWidth="1"/>
    <col min="4405" max="4405" width="18.5703125" style="1" customWidth="1"/>
    <col min="4406" max="4411" width="5.7109375" style="1" customWidth="1"/>
    <col min="4412" max="4412" width="4.85546875" style="1" customWidth="1"/>
    <col min="4413" max="4414" width="5.7109375" style="1" customWidth="1"/>
    <col min="4415" max="4415" width="4.85546875" style="1" customWidth="1"/>
    <col min="4416" max="4416" width="4.5703125" style="1" customWidth="1"/>
    <col min="4417" max="4417" width="5.7109375" style="1" customWidth="1"/>
    <col min="4418" max="4418" width="4.7109375" style="1" customWidth="1"/>
    <col min="4419" max="4420" width="5.7109375" style="1" customWidth="1"/>
    <col min="4421" max="4421" width="6.5703125" style="1" customWidth="1"/>
    <col min="4422" max="4422" width="7.140625" style="1" customWidth="1"/>
    <col min="4423" max="4435" width="5.7109375" style="1" customWidth="1"/>
    <col min="4436" max="4436" width="6.5703125" style="1" customWidth="1"/>
    <col min="4437" max="4437" width="6.85546875" style="1" customWidth="1"/>
    <col min="4438" max="4438" width="6.140625" style="1" customWidth="1"/>
    <col min="4439" max="4439" width="18.85546875" style="1" customWidth="1"/>
    <col min="4440" max="4610" width="8.42578125" style="1"/>
    <col min="4611" max="4611" width="11" style="1" customWidth="1"/>
    <col min="4612" max="4612" width="17.42578125" style="1" customWidth="1"/>
    <col min="4613" max="4613" width="10.5703125" style="1" customWidth="1"/>
    <col min="4614" max="4614" width="9.5703125" style="1" customWidth="1"/>
    <col min="4615" max="4619" width="8" style="1" customWidth="1"/>
    <col min="4620" max="4620" width="9.5703125" style="1" customWidth="1"/>
    <col min="4621" max="4621" width="8" style="1" customWidth="1"/>
    <col min="4622" max="4622" width="19.42578125" style="1" customWidth="1"/>
    <col min="4623" max="4623" width="6" style="1" customWidth="1"/>
    <col min="4624" max="4624" width="5.42578125" style="1" customWidth="1"/>
    <col min="4625" max="4625" width="6.42578125" style="1" customWidth="1"/>
    <col min="4626" max="4626" width="5.5703125" style="1" customWidth="1"/>
    <col min="4627" max="4627" width="5.140625" style="1" customWidth="1"/>
    <col min="4628" max="4628" width="5.42578125" style="1" customWidth="1"/>
    <col min="4629" max="4630" width="5.140625" style="1" customWidth="1"/>
    <col min="4631" max="4631" width="6" style="1" customWidth="1"/>
    <col min="4632" max="4632" width="5.140625" style="1" customWidth="1"/>
    <col min="4633" max="4633" width="5" style="1" customWidth="1"/>
    <col min="4634" max="4634" width="6.140625" style="1" customWidth="1"/>
    <col min="4635" max="4635" width="9.28515625" style="1" customWidth="1"/>
    <col min="4636" max="4636" width="7.140625" style="1" customWidth="1"/>
    <col min="4637" max="4637" width="6.85546875" style="1" customWidth="1"/>
    <col min="4638" max="4638" width="18.7109375" style="1" customWidth="1"/>
    <col min="4639" max="4640" width="5.7109375" style="1" customWidth="1"/>
    <col min="4641" max="4641" width="5.42578125" style="1" customWidth="1"/>
    <col min="4642" max="4643" width="5.7109375" style="1" customWidth="1"/>
    <col min="4644" max="4644" width="6.140625" style="1" customWidth="1"/>
    <col min="4645" max="4656" width="5.7109375" style="1" customWidth="1"/>
    <col min="4657" max="4657" width="8.7109375" style="1" customWidth="1"/>
    <col min="4658" max="4658" width="6.85546875" style="1" customWidth="1"/>
    <col min="4659" max="4659" width="7.140625" style="1" customWidth="1"/>
    <col min="4660" max="4660" width="5.7109375" style="1" customWidth="1"/>
    <col min="4661" max="4661" width="18.5703125" style="1" customWidth="1"/>
    <col min="4662" max="4667" width="5.7109375" style="1" customWidth="1"/>
    <col min="4668" max="4668" width="4.85546875" style="1" customWidth="1"/>
    <col min="4669" max="4670" width="5.7109375" style="1" customWidth="1"/>
    <col min="4671" max="4671" width="4.85546875" style="1" customWidth="1"/>
    <col min="4672" max="4672" width="4.5703125" style="1" customWidth="1"/>
    <col min="4673" max="4673" width="5.7109375" style="1" customWidth="1"/>
    <col min="4674" max="4674" width="4.7109375" style="1" customWidth="1"/>
    <col min="4675" max="4676" width="5.7109375" style="1" customWidth="1"/>
    <col min="4677" max="4677" width="6.5703125" style="1" customWidth="1"/>
    <col min="4678" max="4678" width="7.140625" style="1" customWidth="1"/>
    <col min="4679" max="4691" width="5.7109375" style="1" customWidth="1"/>
    <col min="4692" max="4692" width="6.5703125" style="1" customWidth="1"/>
    <col min="4693" max="4693" width="6.85546875" style="1" customWidth="1"/>
    <col min="4694" max="4694" width="6.140625" style="1" customWidth="1"/>
    <col min="4695" max="4695" width="18.85546875" style="1" customWidth="1"/>
    <col min="4696" max="4866" width="8.42578125" style="1"/>
    <col min="4867" max="4867" width="11" style="1" customWidth="1"/>
    <col min="4868" max="4868" width="17.42578125" style="1" customWidth="1"/>
    <col min="4869" max="4869" width="10.5703125" style="1" customWidth="1"/>
    <col min="4870" max="4870" width="9.5703125" style="1" customWidth="1"/>
    <col min="4871" max="4875" width="8" style="1" customWidth="1"/>
    <col min="4876" max="4876" width="9.5703125" style="1" customWidth="1"/>
    <col min="4877" max="4877" width="8" style="1" customWidth="1"/>
    <col min="4878" max="4878" width="19.42578125" style="1" customWidth="1"/>
    <col min="4879" max="4879" width="6" style="1" customWidth="1"/>
    <col min="4880" max="4880" width="5.42578125" style="1" customWidth="1"/>
    <col min="4881" max="4881" width="6.42578125" style="1" customWidth="1"/>
    <col min="4882" max="4882" width="5.5703125" style="1" customWidth="1"/>
    <col min="4883" max="4883" width="5.140625" style="1" customWidth="1"/>
    <col min="4884" max="4884" width="5.42578125" style="1" customWidth="1"/>
    <col min="4885" max="4886" width="5.140625" style="1" customWidth="1"/>
    <col min="4887" max="4887" width="6" style="1" customWidth="1"/>
    <col min="4888" max="4888" width="5.140625" style="1" customWidth="1"/>
    <col min="4889" max="4889" width="5" style="1" customWidth="1"/>
    <col min="4890" max="4890" width="6.140625" style="1" customWidth="1"/>
    <col min="4891" max="4891" width="9.28515625" style="1" customWidth="1"/>
    <col min="4892" max="4892" width="7.140625" style="1" customWidth="1"/>
    <col min="4893" max="4893" width="6.85546875" style="1" customWidth="1"/>
    <col min="4894" max="4894" width="18.7109375" style="1" customWidth="1"/>
    <col min="4895" max="4896" width="5.7109375" style="1" customWidth="1"/>
    <col min="4897" max="4897" width="5.42578125" style="1" customWidth="1"/>
    <col min="4898" max="4899" width="5.7109375" style="1" customWidth="1"/>
    <col min="4900" max="4900" width="6.140625" style="1" customWidth="1"/>
    <col min="4901" max="4912" width="5.7109375" style="1" customWidth="1"/>
    <col min="4913" max="4913" width="8.7109375" style="1" customWidth="1"/>
    <col min="4914" max="4914" width="6.85546875" style="1" customWidth="1"/>
    <col min="4915" max="4915" width="7.140625" style="1" customWidth="1"/>
    <col min="4916" max="4916" width="5.7109375" style="1" customWidth="1"/>
    <col min="4917" max="4917" width="18.5703125" style="1" customWidth="1"/>
    <col min="4918" max="4923" width="5.7109375" style="1" customWidth="1"/>
    <col min="4924" max="4924" width="4.85546875" style="1" customWidth="1"/>
    <col min="4925" max="4926" width="5.7109375" style="1" customWidth="1"/>
    <col min="4927" max="4927" width="4.85546875" style="1" customWidth="1"/>
    <col min="4928" max="4928" width="4.5703125" style="1" customWidth="1"/>
    <col min="4929" max="4929" width="5.7109375" style="1" customWidth="1"/>
    <col min="4930" max="4930" width="4.7109375" style="1" customWidth="1"/>
    <col min="4931" max="4932" width="5.7109375" style="1" customWidth="1"/>
    <col min="4933" max="4933" width="6.5703125" style="1" customWidth="1"/>
    <col min="4934" max="4934" width="7.140625" style="1" customWidth="1"/>
    <col min="4935" max="4947" width="5.7109375" style="1" customWidth="1"/>
    <col min="4948" max="4948" width="6.5703125" style="1" customWidth="1"/>
    <col min="4949" max="4949" width="6.85546875" style="1" customWidth="1"/>
    <col min="4950" max="4950" width="6.140625" style="1" customWidth="1"/>
    <col min="4951" max="4951" width="18.85546875" style="1" customWidth="1"/>
    <col min="4952" max="5122" width="8.42578125" style="1"/>
    <col min="5123" max="5123" width="11" style="1" customWidth="1"/>
    <col min="5124" max="5124" width="17.42578125" style="1" customWidth="1"/>
    <col min="5125" max="5125" width="10.5703125" style="1" customWidth="1"/>
    <col min="5126" max="5126" width="9.5703125" style="1" customWidth="1"/>
    <col min="5127" max="5131" width="8" style="1" customWidth="1"/>
    <col min="5132" max="5132" width="9.5703125" style="1" customWidth="1"/>
    <col min="5133" max="5133" width="8" style="1" customWidth="1"/>
    <col min="5134" max="5134" width="19.42578125" style="1" customWidth="1"/>
    <col min="5135" max="5135" width="6" style="1" customWidth="1"/>
    <col min="5136" max="5136" width="5.42578125" style="1" customWidth="1"/>
    <col min="5137" max="5137" width="6.42578125" style="1" customWidth="1"/>
    <col min="5138" max="5138" width="5.5703125" style="1" customWidth="1"/>
    <col min="5139" max="5139" width="5.140625" style="1" customWidth="1"/>
    <col min="5140" max="5140" width="5.42578125" style="1" customWidth="1"/>
    <col min="5141" max="5142" width="5.140625" style="1" customWidth="1"/>
    <col min="5143" max="5143" width="6" style="1" customWidth="1"/>
    <col min="5144" max="5144" width="5.140625" style="1" customWidth="1"/>
    <col min="5145" max="5145" width="5" style="1" customWidth="1"/>
    <col min="5146" max="5146" width="6.140625" style="1" customWidth="1"/>
    <col min="5147" max="5147" width="9.28515625" style="1" customWidth="1"/>
    <col min="5148" max="5148" width="7.140625" style="1" customWidth="1"/>
    <col min="5149" max="5149" width="6.85546875" style="1" customWidth="1"/>
    <col min="5150" max="5150" width="18.7109375" style="1" customWidth="1"/>
    <col min="5151" max="5152" width="5.7109375" style="1" customWidth="1"/>
    <col min="5153" max="5153" width="5.42578125" style="1" customWidth="1"/>
    <col min="5154" max="5155" width="5.7109375" style="1" customWidth="1"/>
    <col min="5156" max="5156" width="6.140625" style="1" customWidth="1"/>
    <col min="5157" max="5168" width="5.7109375" style="1" customWidth="1"/>
    <col min="5169" max="5169" width="8.7109375" style="1" customWidth="1"/>
    <col min="5170" max="5170" width="6.85546875" style="1" customWidth="1"/>
    <col min="5171" max="5171" width="7.140625" style="1" customWidth="1"/>
    <col min="5172" max="5172" width="5.7109375" style="1" customWidth="1"/>
    <col min="5173" max="5173" width="18.5703125" style="1" customWidth="1"/>
    <col min="5174" max="5179" width="5.7109375" style="1" customWidth="1"/>
    <col min="5180" max="5180" width="4.85546875" style="1" customWidth="1"/>
    <col min="5181" max="5182" width="5.7109375" style="1" customWidth="1"/>
    <col min="5183" max="5183" width="4.85546875" style="1" customWidth="1"/>
    <col min="5184" max="5184" width="4.5703125" style="1" customWidth="1"/>
    <col min="5185" max="5185" width="5.7109375" style="1" customWidth="1"/>
    <col min="5186" max="5186" width="4.7109375" style="1" customWidth="1"/>
    <col min="5187" max="5188" width="5.7109375" style="1" customWidth="1"/>
    <col min="5189" max="5189" width="6.5703125" style="1" customWidth="1"/>
    <col min="5190" max="5190" width="7.140625" style="1" customWidth="1"/>
    <col min="5191" max="5203" width="5.7109375" style="1" customWidth="1"/>
    <col min="5204" max="5204" width="6.5703125" style="1" customWidth="1"/>
    <col min="5205" max="5205" width="6.85546875" style="1" customWidth="1"/>
    <col min="5206" max="5206" width="6.140625" style="1" customWidth="1"/>
    <col min="5207" max="5207" width="18.85546875" style="1" customWidth="1"/>
    <col min="5208" max="5378" width="8.42578125" style="1"/>
    <col min="5379" max="5379" width="11" style="1" customWidth="1"/>
    <col min="5380" max="5380" width="17.42578125" style="1" customWidth="1"/>
    <col min="5381" max="5381" width="10.5703125" style="1" customWidth="1"/>
    <col min="5382" max="5382" width="9.5703125" style="1" customWidth="1"/>
    <col min="5383" max="5387" width="8" style="1" customWidth="1"/>
    <col min="5388" max="5388" width="9.5703125" style="1" customWidth="1"/>
    <col min="5389" max="5389" width="8" style="1" customWidth="1"/>
    <col min="5390" max="5390" width="19.42578125" style="1" customWidth="1"/>
    <col min="5391" max="5391" width="6" style="1" customWidth="1"/>
    <col min="5392" max="5392" width="5.42578125" style="1" customWidth="1"/>
    <col min="5393" max="5393" width="6.42578125" style="1" customWidth="1"/>
    <col min="5394" max="5394" width="5.5703125" style="1" customWidth="1"/>
    <col min="5395" max="5395" width="5.140625" style="1" customWidth="1"/>
    <col min="5396" max="5396" width="5.42578125" style="1" customWidth="1"/>
    <col min="5397" max="5398" width="5.140625" style="1" customWidth="1"/>
    <col min="5399" max="5399" width="6" style="1" customWidth="1"/>
    <col min="5400" max="5400" width="5.140625" style="1" customWidth="1"/>
    <col min="5401" max="5401" width="5" style="1" customWidth="1"/>
    <col min="5402" max="5402" width="6.140625" style="1" customWidth="1"/>
    <col min="5403" max="5403" width="9.28515625" style="1" customWidth="1"/>
    <col min="5404" max="5404" width="7.140625" style="1" customWidth="1"/>
    <col min="5405" max="5405" width="6.85546875" style="1" customWidth="1"/>
    <col min="5406" max="5406" width="18.7109375" style="1" customWidth="1"/>
    <col min="5407" max="5408" width="5.7109375" style="1" customWidth="1"/>
    <col min="5409" max="5409" width="5.42578125" style="1" customWidth="1"/>
    <col min="5410" max="5411" width="5.7109375" style="1" customWidth="1"/>
    <col min="5412" max="5412" width="6.140625" style="1" customWidth="1"/>
    <col min="5413" max="5424" width="5.7109375" style="1" customWidth="1"/>
    <col min="5425" max="5425" width="8.7109375" style="1" customWidth="1"/>
    <col min="5426" max="5426" width="6.85546875" style="1" customWidth="1"/>
    <col min="5427" max="5427" width="7.140625" style="1" customWidth="1"/>
    <col min="5428" max="5428" width="5.7109375" style="1" customWidth="1"/>
    <col min="5429" max="5429" width="18.5703125" style="1" customWidth="1"/>
    <col min="5430" max="5435" width="5.7109375" style="1" customWidth="1"/>
    <col min="5436" max="5436" width="4.85546875" style="1" customWidth="1"/>
    <col min="5437" max="5438" width="5.7109375" style="1" customWidth="1"/>
    <col min="5439" max="5439" width="4.85546875" style="1" customWidth="1"/>
    <col min="5440" max="5440" width="4.5703125" style="1" customWidth="1"/>
    <col min="5441" max="5441" width="5.7109375" style="1" customWidth="1"/>
    <col min="5442" max="5442" width="4.7109375" style="1" customWidth="1"/>
    <col min="5443" max="5444" width="5.7109375" style="1" customWidth="1"/>
    <col min="5445" max="5445" width="6.5703125" style="1" customWidth="1"/>
    <col min="5446" max="5446" width="7.140625" style="1" customWidth="1"/>
    <col min="5447" max="5459" width="5.7109375" style="1" customWidth="1"/>
    <col min="5460" max="5460" width="6.5703125" style="1" customWidth="1"/>
    <col min="5461" max="5461" width="6.85546875" style="1" customWidth="1"/>
    <col min="5462" max="5462" width="6.140625" style="1" customWidth="1"/>
    <col min="5463" max="5463" width="18.85546875" style="1" customWidth="1"/>
    <col min="5464" max="5634" width="8.42578125" style="1"/>
    <col min="5635" max="5635" width="11" style="1" customWidth="1"/>
    <col min="5636" max="5636" width="17.42578125" style="1" customWidth="1"/>
    <col min="5637" max="5637" width="10.5703125" style="1" customWidth="1"/>
    <col min="5638" max="5638" width="9.5703125" style="1" customWidth="1"/>
    <col min="5639" max="5643" width="8" style="1" customWidth="1"/>
    <col min="5644" max="5644" width="9.5703125" style="1" customWidth="1"/>
    <col min="5645" max="5645" width="8" style="1" customWidth="1"/>
    <col min="5646" max="5646" width="19.42578125" style="1" customWidth="1"/>
    <col min="5647" max="5647" width="6" style="1" customWidth="1"/>
    <col min="5648" max="5648" width="5.42578125" style="1" customWidth="1"/>
    <col min="5649" max="5649" width="6.42578125" style="1" customWidth="1"/>
    <col min="5650" max="5650" width="5.5703125" style="1" customWidth="1"/>
    <col min="5651" max="5651" width="5.140625" style="1" customWidth="1"/>
    <col min="5652" max="5652" width="5.42578125" style="1" customWidth="1"/>
    <col min="5653" max="5654" width="5.140625" style="1" customWidth="1"/>
    <col min="5655" max="5655" width="6" style="1" customWidth="1"/>
    <col min="5656" max="5656" width="5.140625" style="1" customWidth="1"/>
    <col min="5657" max="5657" width="5" style="1" customWidth="1"/>
    <col min="5658" max="5658" width="6.140625" style="1" customWidth="1"/>
    <col min="5659" max="5659" width="9.28515625" style="1" customWidth="1"/>
    <col min="5660" max="5660" width="7.140625" style="1" customWidth="1"/>
    <col min="5661" max="5661" width="6.85546875" style="1" customWidth="1"/>
    <col min="5662" max="5662" width="18.7109375" style="1" customWidth="1"/>
    <col min="5663" max="5664" width="5.7109375" style="1" customWidth="1"/>
    <col min="5665" max="5665" width="5.42578125" style="1" customWidth="1"/>
    <col min="5666" max="5667" width="5.7109375" style="1" customWidth="1"/>
    <col min="5668" max="5668" width="6.140625" style="1" customWidth="1"/>
    <col min="5669" max="5680" width="5.7109375" style="1" customWidth="1"/>
    <col min="5681" max="5681" width="8.7109375" style="1" customWidth="1"/>
    <col min="5682" max="5682" width="6.85546875" style="1" customWidth="1"/>
    <col min="5683" max="5683" width="7.140625" style="1" customWidth="1"/>
    <col min="5684" max="5684" width="5.7109375" style="1" customWidth="1"/>
    <col min="5685" max="5685" width="18.5703125" style="1" customWidth="1"/>
    <col min="5686" max="5691" width="5.7109375" style="1" customWidth="1"/>
    <col min="5692" max="5692" width="4.85546875" style="1" customWidth="1"/>
    <col min="5693" max="5694" width="5.7109375" style="1" customWidth="1"/>
    <col min="5695" max="5695" width="4.85546875" style="1" customWidth="1"/>
    <col min="5696" max="5696" width="4.5703125" style="1" customWidth="1"/>
    <col min="5697" max="5697" width="5.7109375" style="1" customWidth="1"/>
    <col min="5698" max="5698" width="4.7109375" style="1" customWidth="1"/>
    <col min="5699" max="5700" width="5.7109375" style="1" customWidth="1"/>
    <col min="5701" max="5701" width="6.5703125" style="1" customWidth="1"/>
    <col min="5702" max="5702" width="7.140625" style="1" customWidth="1"/>
    <col min="5703" max="5715" width="5.7109375" style="1" customWidth="1"/>
    <col min="5716" max="5716" width="6.5703125" style="1" customWidth="1"/>
    <col min="5717" max="5717" width="6.85546875" style="1" customWidth="1"/>
    <col min="5718" max="5718" width="6.140625" style="1" customWidth="1"/>
    <col min="5719" max="5719" width="18.85546875" style="1" customWidth="1"/>
    <col min="5720" max="5890" width="8.42578125" style="1"/>
    <col min="5891" max="5891" width="11" style="1" customWidth="1"/>
    <col min="5892" max="5892" width="17.42578125" style="1" customWidth="1"/>
    <col min="5893" max="5893" width="10.5703125" style="1" customWidth="1"/>
    <col min="5894" max="5894" width="9.5703125" style="1" customWidth="1"/>
    <col min="5895" max="5899" width="8" style="1" customWidth="1"/>
    <col min="5900" max="5900" width="9.5703125" style="1" customWidth="1"/>
    <col min="5901" max="5901" width="8" style="1" customWidth="1"/>
    <col min="5902" max="5902" width="19.42578125" style="1" customWidth="1"/>
    <col min="5903" max="5903" width="6" style="1" customWidth="1"/>
    <col min="5904" max="5904" width="5.42578125" style="1" customWidth="1"/>
    <col min="5905" max="5905" width="6.42578125" style="1" customWidth="1"/>
    <col min="5906" max="5906" width="5.5703125" style="1" customWidth="1"/>
    <col min="5907" max="5907" width="5.140625" style="1" customWidth="1"/>
    <col min="5908" max="5908" width="5.42578125" style="1" customWidth="1"/>
    <col min="5909" max="5910" width="5.140625" style="1" customWidth="1"/>
    <col min="5911" max="5911" width="6" style="1" customWidth="1"/>
    <col min="5912" max="5912" width="5.140625" style="1" customWidth="1"/>
    <col min="5913" max="5913" width="5" style="1" customWidth="1"/>
    <col min="5914" max="5914" width="6.140625" style="1" customWidth="1"/>
    <col min="5915" max="5915" width="9.28515625" style="1" customWidth="1"/>
    <col min="5916" max="5916" width="7.140625" style="1" customWidth="1"/>
    <col min="5917" max="5917" width="6.85546875" style="1" customWidth="1"/>
    <col min="5918" max="5918" width="18.7109375" style="1" customWidth="1"/>
    <col min="5919" max="5920" width="5.7109375" style="1" customWidth="1"/>
    <col min="5921" max="5921" width="5.42578125" style="1" customWidth="1"/>
    <col min="5922" max="5923" width="5.7109375" style="1" customWidth="1"/>
    <col min="5924" max="5924" width="6.140625" style="1" customWidth="1"/>
    <col min="5925" max="5936" width="5.7109375" style="1" customWidth="1"/>
    <col min="5937" max="5937" width="8.7109375" style="1" customWidth="1"/>
    <col min="5938" max="5938" width="6.85546875" style="1" customWidth="1"/>
    <col min="5939" max="5939" width="7.140625" style="1" customWidth="1"/>
    <col min="5940" max="5940" width="5.7109375" style="1" customWidth="1"/>
    <col min="5941" max="5941" width="18.5703125" style="1" customWidth="1"/>
    <col min="5942" max="5947" width="5.7109375" style="1" customWidth="1"/>
    <col min="5948" max="5948" width="4.85546875" style="1" customWidth="1"/>
    <col min="5949" max="5950" width="5.7109375" style="1" customWidth="1"/>
    <col min="5951" max="5951" width="4.85546875" style="1" customWidth="1"/>
    <col min="5952" max="5952" width="4.5703125" style="1" customWidth="1"/>
    <col min="5953" max="5953" width="5.7109375" style="1" customWidth="1"/>
    <col min="5954" max="5954" width="4.7109375" style="1" customWidth="1"/>
    <col min="5955" max="5956" width="5.7109375" style="1" customWidth="1"/>
    <col min="5957" max="5957" width="6.5703125" style="1" customWidth="1"/>
    <col min="5958" max="5958" width="7.140625" style="1" customWidth="1"/>
    <col min="5959" max="5971" width="5.7109375" style="1" customWidth="1"/>
    <col min="5972" max="5972" width="6.5703125" style="1" customWidth="1"/>
    <col min="5973" max="5973" width="6.85546875" style="1" customWidth="1"/>
    <col min="5974" max="5974" width="6.140625" style="1" customWidth="1"/>
    <col min="5975" max="5975" width="18.85546875" style="1" customWidth="1"/>
    <col min="5976" max="6146" width="8.42578125" style="1"/>
    <col min="6147" max="6147" width="11" style="1" customWidth="1"/>
    <col min="6148" max="6148" width="17.42578125" style="1" customWidth="1"/>
    <col min="6149" max="6149" width="10.5703125" style="1" customWidth="1"/>
    <col min="6150" max="6150" width="9.5703125" style="1" customWidth="1"/>
    <col min="6151" max="6155" width="8" style="1" customWidth="1"/>
    <col min="6156" max="6156" width="9.5703125" style="1" customWidth="1"/>
    <col min="6157" max="6157" width="8" style="1" customWidth="1"/>
    <col min="6158" max="6158" width="19.42578125" style="1" customWidth="1"/>
    <col min="6159" max="6159" width="6" style="1" customWidth="1"/>
    <col min="6160" max="6160" width="5.42578125" style="1" customWidth="1"/>
    <col min="6161" max="6161" width="6.42578125" style="1" customWidth="1"/>
    <col min="6162" max="6162" width="5.5703125" style="1" customWidth="1"/>
    <col min="6163" max="6163" width="5.140625" style="1" customWidth="1"/>
    <col min="6164" max="6164" width="5.42578125" style="1" customWidth="1"/>
    <col min="6165" max="6166" width="5.140625" style="1" customWidth="1"/>
    <col min="6167" max="6167" width="6" style="1" customWidth="1"/>
    <col min="6168" max="6168" width="5.140625" style="1" customWidth="1"/>
    <col min="6169" max="6169" width="5" style="1" customWidth="1"/>
    <col min="6170" max="6170" width="6.140625" style="1" customWidth="1"/>
    <col min="6171" max="6171" width="9.28515625" style="1" customWidth="1"/>
    <col min="6172" max="6172" width="7.140625" style="1" customWidth="1"/>
    <col min="6173" max="6173" width="6.85546875" style="1" customWidth="1"/>
    <col min="6174" max="6174" width="18.7109375" style="1" customWidth="1"/>
    <col min="6175" max="6176" width="5.7109375" style="1" customWidth="1"/>
    <col min="6177" max="6177" width="5.42578125" style="1" customWidth="1"/>
    <col min="6178" max="6179" width="5.7109375" style="1" customWidth="1"/>
    <col min="6180" max="6180" width="6.140625" style="1" customWidth="1"/>
    <col min="6181" max="6192" width="5.7109375" style="1" customWidth="1"/>
    <col min="6193" max="6193" width="8.7109375" style="1" customWidth="1"/>
    <col min="6194" max="6194" width="6.85546875" style="1" customWidth="1"/>
    <col min="6195" max="6195" width="7.140625" style="1" customWidth="1"/>
    <col min="6196" max="6196" width="5.7109375" style="1" customWidth="1"/>
    <col min="6197" max="6197" width="18.5703125" style="1" customWidth="1"/>
    <col min="6198" max="6203" width="5.7109375" style="1" customWidth="1"/>
    <col min="6204" max="6204" width="4.85546875" style="1" customWidth="1"/>
    <col min="6205" max="6206" width="5.7109375" style="1" customWidth="1"/>
    <col min="6207" max="6207" width="4.85546875" style="1" customWidth="1"/>
    <col min="6208" max="6208" width="4.5703125" style="1" customWidth="1"/>
    <col min="6209" max="6209" width="5.7109375" style="1" customWidth="1"/>
    <col min="6210" max="6210" width="4.7109375" style="1" customWidth="1"/>
    <col min="6211" max="6212" width="5.7109375" style="1" customWidth="1"/>
    <col min="6213" max="6213" width="6.5703125" style="1" customWidth="1"/>
    <col min="6214" max="6214" width="7.140625" style="1" customWidth="1"/>
    <col min="6215" max="6227" width="5.7109375" style="1" customWidth="1"/>
    <col min="6228" max="6228" width="6.5703125" style="1" customWidth="1"/>
    <col min="6229" max="6229" width="6.85546875" style="1" customWidth="1"/>
    <col min="6230" max="6230" width="6.140625" style="1" customWidth="1"/>
    <col min="6231" max="6231" width="18.85546875" style="1" customWidth="1"/>
    <col min="6232" max="6402" width="8.42578125" style="1"/>
    <col min="6403" max="6403" width="11" style="1" customWidth="1"/>
    <col min="6404" max="6404" width="17.42578125" style="1" customWidth="1"/>
    <col min="6405" max="6405" width="10.5703125" style="1" customWidth="1"/>
    <col min="6406" max="6406" width="9.5703125" style="1" customWidth="1"/>
    <col min="6407" max="6411" width="8" style="1" customWidth="1"/>
    <col min="6412" max="6412" width="9.5703125" style="1" customWidth="1"/>
    <col min="6413" max="6413" width="8" style="1" customWidth="1"/>
    <col min="6414" max="6414" width="19.42578125" style="1" customWidth="1"/>
    <col min="6415" max="6415" width="6" style="1" customWidth="1"/>
    <col min="6416" max="6416" width="5.42578125" style="1" customWidth="1"/>
    <col min="6417" max="6417" width="6.42578125" style="1" customWidth="1"/>
    <col min="6418" max="6418" width="5.5703125" style="1" customWidth="1"/>
    <col min="6419" max="6419" width="5.140625" style="1" customWidth="1"/>
    <col min="6420" max="6420" width="5.42578125" style="1" customWidth="1"/>
    <col min="6421" max="6422" width="5.140625" style="1" customWidth="1"/>
    <col min="6423" max="6423" width="6" style="1" customWidth="1"/>
    <col min="6424" max="6424" width="5.140625" style="1" customWidth="1"/>
    <col min="6425" max="6425" width="5" style="1" customWidth="1"/>
    <col min="6426" max="6426" width="6.140625" style="1" customWidth="1"/>
    <col min="6427" max="6427" width="9.28515625" style="1" customWidth="1"/>
    <col min="6428" max="6428" width="7.140625" style="1" customWidth="1"/>
    <col min="6429" max="6429" width="6.85546875" style="1" customWidth="1"/>
    <col min="6430" max="6430" width="18.7109375" style="1" customWidth="1"/>
    <col min="6431" max="6432" width="5.7109375" style="1" customWidth="1"/>
    <col min="6433" max="6433" width="5.42578125" style="1" customWidth="1"/>
    <col min="6434" max="6435" width="5.7109375" style="1" customWidth="1"/>
    <col min="6436" max="6436" width="6.140625" style="1" customWidth="1"/>
    <col min="6437" max="6448" width="5.7109375" style="1" customWidth="1"/>
    <col min="6449" max="6449" width="8.7109375" style="1" customWidth="1"/>
    <col min="6450" max="6450" width="6.85546875" style="1" customWidth="1"/>
    <col min="6451" max="6451" width="7.140625" style="1" customWidth="1"/>
    <col min="6452" max="6452" width="5.7109375" style="1" customWidth="1"/>
    <col min="6453" max="6453" width="18.5703125" style="1" customWidth="1"/>
    <col min="6454" max="6459" width="5.7109375" style="1" customWidth="1"/>
    <col min="6460" max="6460" width="4.85546875" style="1" customWidth="1"/>
    <col min="6461" max="6462" width="5.7109375" style="1" customWidth="1"/>
    <col min="6463" max="6463" width="4.85546875" style="1" customWidth="1"/>
    <col min="6464" max="6464" width="4.5703125" style="1" customWidth="1"/>
    <col min="6465" max="6465" width="5.7109375" style="1" customWidth="1"/>
    <col min="6466" max="6466" width="4.7109375" style="1" customWidth="1"/>
    <col min="6467" max="6468" width="5.7109375" style="1" customWidth="1"/>
    <col min="6469" max="6469" width="6.5703125" style="1" customWidth="1"/>
    <col min="6470" max="6470" width="7.140625" style="1" customWidth="1"/>
    <col min="6471" max="6483" width="5.7109375" style="1" customWidth="1"/>
    <col min="6484" max="6484" width="6.5703125" style="1" customWidth="1"/>
    <col min="6485" max="6485" width="6.85546875" style="1" customWidth="1"/>
    <col min="6486" max="6486" width="6.140625" style="1" customWidth="1"/>
    <col min="6487" max="6487" width="18.85546875" style="1" customWidth="1"/>
    <col min="6488" max="6658" width="8.42578125" style="1"/>
    <col min="6659" max="6659" width="11" style="1" customWidth="1"/>
    <col min="6660" max="6660" width="17.42578125" style="1" customWidth="1"/>
    <col min="6661" max="6661" width="10.5703125" style="1" customWidth="1"/>
    <col min="6662" max="6662" width="9.5703125" style="1" customWidth="1"/>
    <col min="6663" max="6667" width="8" style="1" customWidth="1"/>
    <col min="6668" max="6668" width="9.5703125" style="1" customWidth="1"/>
    <col min="6669" max="6669" width="8" style="1" customWidth="1"/>
    <col min="6670" max="6670" width="19.42578125" style="1" customWidth="1"/>
    <col min="6671" max="6671" width="6" style="1" customWidth="1"/>
    <col min="6672" max="6672" width="5.42578125" style="1" customWidth="1"/>
    <col min="6673" max="6673" width="6.42578125" style="1" customWidth="1"/>
    <col min="6674" max="6674" width="5.5703125" style="1" customWidth="1"/>
    <col min="6675" max="6675" width="5.140625" style="1" customWidth="1"/>
    <col min="6676" max="6676" width="5.42578125" style="1" customWidth="1"/>
    <col min="6677" max="6678" width="5.140625" style="1" customWidth="1"/>
    <col min="6679" max="6679" width="6" style="1" customWidth="1"/>
    <col min="6680" max="6680" width="5.140625" style="1" customWidth="1"/>
    <col min="6681" max="6681" width="5" style="1" customWidth="1"/>
    <col min="6682" max="6682" width="6.140625" style="1" customWidth="1"/>
    <col min="6683" max="6683" width="9.28515625" style="1" customWidth="1"/>
    <col min="6684" max="6684" width="7.140625" style="1" customWidth="1"/>
    <col min="6685" max="6685" width="6.85546875" style="1" customWidth="1"/>
    <col min="6686" max="6686" width="18.7109375" style="1" customWidth="1"/>
    <col min="6687" max="6688" width="5.7109375" style="1" customWidth="1"/>
    <col min="6689" max="6689" width="5.42578125" style="1" customWidth="1"/>
    <col min="6690" max="6691" width="5.7109375" style="1" customWidth="1"/>
    <col min="6692" max="6692" width="6.140625" style="1" customWidth="1"/>
    <col min="6693" max="6704" width="5.7109375" style="1" customWidth="1"/>
    <col min="6705" max="6705" width="8.7109375" style="1" customWidth="1"/>
    <col min="6706" max="6706" width="6.85546875" style="1" customWidth="1"/>
    <col min="6707" max="6707" width="7.140625" style="1" customWidth="1"/>
    <col min="6708" max="6708" width="5.7109375" style="1" customWidth="1"/>
    <col min="6709" max="6709" width="18.5703125" style="1" customWidth="1"/>
    <col min="6710" max="6715" width="5.7109375" style="1" customWidth="1"/>
    <col min="6716" max="6716" width="4.85546875" style="1" customWidth="1"/>
    <col min="6717" max="6718" width="5.7109375" style="1" customWidth="1"/>
    <col min="6719" max="6719" width="4.85546875" style="1" customWidth="1"/>
    <col min="6720" max="6720" width="4.5703125" style="1" customWidth="1"/>
    <col min="6721" max="6721" width="5.7109375" style="1" customWidth="1"/>
    <col min="6722" max="6722" width="4.7109375" style="1" customWidth="1"/>
    <col min="6723" max="6724" width="5.7109375" style="1" customWidth="1"/>
    <col min="6725" max="6725" width="6.5703125" style="1" customWidth="1"/>
    <col min="6726" max="6726" width="7.140625" style="1" customWidth="1"/>
    <col min="6727" max="6739" width="5.7109375" style="1" customWidth="1"/>
    <col min="6740" max="6740" width="6.5703125" style="1" customWidth="1"/>
    <col min="6741" max="6741" width="6.85546875" style="1" customWidth="1"/>
    <col min="6742" max="6742" width="6.140625" style="1" customWidth="1"/>
    <col min="6743" max="6743" width="18.85546875" style="1" customWidth="1"/>
    <col min="6744" max="6914" width="8.42578125" style="1"/>
    <col min="6915" max="6915" width="11" style="1" customWidth="1"/>
    <col min="6916" max="6916" width="17.42578125" style="1" customWidth="1"/>
    <col min="6917" max="6917" width="10.5703125" style="1" customWidth="1"/>
    <col min="6918" max="6918" width="9.5703125" style="1" customWidth="1"/>
    <col min="6919" max="6923" width="8" style="1" customWidth="1"/>
    <col min="6924" max="6924" width="9.5703125" style="1" customWidth="1"/>
    <col min="6925" max="6925" width="8" style="1" customWidth="1"/>
    <col min="6926" max="6926" width="19.42578125" style="1" customWidth="1"/>
    <col min="6927" max="6927" width="6" style="1" customWidth="1"/>
    <col min="6928" max="6928" width="5.42578125" style="1" customWidth="1"/>
    <col min="6929" max="6929" width="6.42578125" style="1" customWidth="1"/>
    <col min="6930" max="6930" width="5.5703125" style="1" customWidth="1"/>
    <col min="6931" max="6931" width="5.140625" style="1" customWidth="1"/>
    <col min="6932" max="6932" width="5.42578125" style="1" customWidth="1"/>
    <col min="6933" max="6934" width="5.140625" style="1" customWidth="1"/>
    <col min="6935" max="6935" width="6" style="1" customWidth="1"/>
    <col min="6936" max="6936" width="5.140625" style="1" customWidth="1"/>
    <col min="6937" max="6937" width="5" style="1" customWidth="1"/>
    <col min="6938" max="6938" width="6.140625" style="1" customWidth="1"/>
    <col min="6939" max="6939" width="9.28515625" style="1" customWidth="1"/>
    <col min="6940" max="6940" width="7.140625" style="1" customWidth="1"/>
    <col min="6941" max="6941" width="6.85546875" style="1" customWidth="1"/>
    <col min="6942" max="6942" width="18.7109375" style="1" customWidth="1"/>
    <col min="6943" max="6944" width="5.7109375" style="1" customWidth="1"/>
    <col min="6945" max="6945" width="5.42578125" style="1" customWidth="1"/>
    <col min="6946" max="6947" width="5.7109375" style="1" customWidth="1"/>
    <col min="6948" max="6948" width="6.140625" style="1" customWidth="1"/>
    <col min="6949" max="6960" width="5.7109375" style="1" customWidth="1"/>
    <col min="6961" max="6961" width="8.7109375" style="1" customWidth="1"/>
    <col min="6962" max="6962" width="6.85546875" style="1" customWidth="1"/>
    <col min="6963" max="6963" width="7.140625" style="1" customWidth="1"/>
    <col min="6964" max="6964" width="5.7109375" style="1" customWidth="1"/>
    <col min="6965" max="6965" width="18.5703125" style="1" customWidth="1"/>
    <col min="6966" max="6971" width="5.7109375" style="1" customWidth="1"/>
    <col min="6972" max="6972" width="4.85546875" style="1" customWidth="1"/>
    <col min="6973" max="6974" width="5.7109375" style="1" customWidth="1"/>
    <col min="6975" max="6975" width="4.85546875" style="1" customWidth="1"/>
    <col min="6976" max="6976" width="4.5703125" style="1" customWidth="1"/>
    <col min="6977" max="6977" width="5.7109375" style="1" customWidth="1"/>
    <col min="6978" max="6978" width="4.7109375" style="1" customWidth="1"/>
    <col min="6979" max="6980" width="5.7109375" style="1" customWidth="1"/>
    <col min="6981" max="6981" width="6.5703125" style="1" customWidth="1"/>
    <col min="6982" max="6982" width="7.140625" style="1" customWidth="1"/>
    <col min="6983" max="6995" width="5.7109375" style="1" customWidth="1"/>
    <col min="6996" max="6996" width="6.5703125" style="1" customWidth="1"/>
    <col min="6997" max="6997" width="6.85546875" style="1" customWidth="1"/>
    <col min="6998" max="6998" width="6.140625" style="1" customWidth="1"/>
    <col min="6999" max="6999" width="18.85546875" style="1" customWidth="1"/>
    <col min="7000" max="7170" width="8.42578125" style="1"/>
    <col min="7171" max="7171" width="11" style="1" customWidth="1"/>
    <col min="7172" max="7172" width="17.42578125" style="1" customWidth="1"/>
    <col min="7173" max="7173" width="10.5703125" style="1" customWidth="1"/>
    <col min="7174" max="7174" width="9.5703125" style="1" customWidth="1"/>
    <col min="7175" max="7179" width="8" style="1" customWidth="1"/>
    <col min="7180" max="7180" width="9.5703125" style="1" customWidth="1"/>
    <col min="7181" max="7181" width="8" style="1" customWidth="1"/>
    <col min="7182" max="7182" width="19.42578125" style="1" customWidth="1"/>
    <col min="7183" max="7183" width="6" style="1" customWidth="1"/>
    <col min="7184" max="7184" width="5.42578125" style="1" customWidth="1"/>
    <col min="7185" max="7185" width="6.42578125" style="1" customWidth="1"/>
    <col min="7186" max="7186" width="5.5703125" style="1" customWidth="1"/>
    <col min="7187" max="7187" width="5.140625" style="1" customWidth="1"/>
    <col min="7188" max="7188" width="5.42578125" style="1" customWidth="1"/>
    <col min="7189" max="7190" width="5.140625" style="1" customWidth="1"/>
    <col min="7191" max="7191" width="6" style="1" customWidth="1"/>
    <col min="7192" max="7192" width="5.140625" style="1" customWidth="1"/>
    <col min="7193" max="7193" width="5" style="1" customWidth="1"/>
    <col min="7194" max="7194" width="6.140625" style="1" customWidth="1"/>
    <col min="7195" max="7195" width="9.28515625" style="1" customWidth="1"/>
    <col min="7196" max="7196" width="7.140625" style="1" customWidth="1"/>
    <col min="7197" max="7197" width="6.85546875" style="1" customWidth="1"/>
    <col min="7198" max="7198" width="18.7109375" style="1" customWidth="1"/>
    <col min="7199" max="7200" width="5.7109375" style="1" customWidth="1"/>
    <col min="7201" max="7201" width="5.42578125" style="1" customWidth="1"/>
    <col min="7202" max="7203" width="5.7109375" style="1" customWidth="1"/>
    <col min="7204" max="7204" width="6.140625" style="1" customWidth="1"/>
    <col min="7205" max="7216" width="5.7109375" style="1" customWidth="1"/>
    <col min="7217" max="7217" width="8.7109375" style="1" customWidth="1"/>
    <col min="7218" max="7218" width="6.85546875" style="1" customWidth="1"/>
    <col min="7219" max="7219" width="7.140625" style="1" customWidth="1"/>
    <col min="7220" max="7220" width="5.7109375" style="1" customWidth="1"/>
    <col min="7221" max="7221" width="18.5703125" style="1" customWidth="1"/>
    <col min="7222" max="7227" width="5.7109375" style="1" customWidth="1"/>
    <col min="7228" max="7228" width="4.85546875" style="1" customWidth="1"/>
    <col min="7229" max="7230" width="5.7109375" style="1" customWidth="1"/>
    <col min="7231" max="7231" width="4.85546875" style="1" customWidth="1"/>
    <col min="7232" max="7232" width="4.5703125" style="1" customWidth="1"/>
    <col min="7233" max="7233" width="5.7109375" style="1" customWidth="1"/>
    <col min="7234" max="7234" width="4.7109375" style="1" customWidth="1"/>
    <col min="7235" max="7236" width="5.7109375" style="1" customWidth="1"/>
    <col min="7237" max="7237" width="6.5703125" style="1" customWidth="1"/>
    <col min="7238" max="7238" width="7.140625" style="1" customWidth="1"/>
    <col min="7239" max="7251" width="5.7109375" style="1" customWidth="1"/>
    <col min="7252" max="7252" width="6.5703125" style="1" customWidth="1"/>
    <col min="7253" max="7253" width="6.85546875" style="1" customWidth="1"/>
    <col min="7254" max="7254" width="6.140625" style="1" customWidth="1"/>
    <col min="7255" max="7255" width="18.85546875" style="1" customWidth="1"/>
    <col min="7256" max="7426" width="8.42578125" style="1"/>
    <col min="7427" max="7427" width="11" style="1" customWidth="1"/>
    <col min="7428" max="7428" width="17.42578125" style="1" customWidth="1"/>
    <col min="7429" max="7429" width="10.5703125" style="1" customWidth="1"/>
    <col min="7430" max="7430" width="9.5703125" style="1" customWidth="1"/>
    <col min="7431" max="7435" width="8" style="1" customWidth="1"/>
    <col min="7436" max="7436" width="9.5703125" style="1" customWidth="1"/>
    <col min="7437" max="7437" width="8" style="1" customWidth="1"/>
    <col min="7438" max="7438" width="19.42578125" style="1" customWidth="1"/>
    <col min="7439" max="7439" width="6" style="1" customWidth="1"/>
    <col min="7440" max="7440" width="5.42578125" style="1" customWidth="1"/>
    <col min="7441" max="7441" width="6.42578125" style="1" customWidth="1"/>
    <col min="7442" max="7442" width="5.5703125" style="1" customWidth="1"/>
    <col min="7443" max="7443" width="5.140625" style="1" customWidth="1"/>
    <col min="7444" max="7444" width="5.42578125" style="1" customWidth="1"/>
    <col min="7445" max="7446" width="5.140625" style="1" customWidth="1"/>
    <col min="7447" max="7447" width="6" style="1" customWidth="1"/>
    <col min="7448" max="7448" width="5.140625" style="1" customWidth="1"/>
    <col min="7449" max="7449" width="5" style="1" customWidth="1"/>
    <col min="7450" max="7450" width="6.140625" style="1" customWidth="1"/>
    <col min="7451" max="7451" width="9.28515625" style="1" customWidth="1"/>
    <col min="7452" max="7452" width="7.140625" style="1" customWidth="1"/>
    <col min="7453" max="7453" width="6.85546875" style="1" customWidth="1"/>
    <col min="7454" max="7454" width="18.7109375" style="1" customWidth="1"/>
    <col min="7455" max="7456" width="5.7109375" style="1" customWidth="1"/>
    <col min="7457" max="7457" width="5.42578125" style="1" customWidth="1"/>
    <col min="7458" max="7459" width="5.7109375" style="1" customWidth="1"/>
    <col min="7460" max="7460" width="6.140625" style="1" customWidth="1"/>
    <col min="7461" max="7472" width="5.7109375" style="1" customWidth="1"/>
    <col min="7473" max="7473" width="8.7109375" style="1" customWidth="1"/>
    <col min="7474" max="7474" width="6.85546875" style="1" customWidth="1"/>
    <col min="7475" max="7475" width="7.140625" style="1" customWidth="1"/>
    <col min="7476" max="7476" width="5.7109375" style="1" customWidth="1"/>
    <col min="7477" max="7477" width="18.5703125" style="1" customWidth="1"/>
    <col min="7478" max="7483" width="5.7109375" style="1" customWidth="1"/>
    <col min="7484" max="7484" width="4.85546875" style="1" customWidth="1"/>
    <col min="7485" max="7486" width="5.7109375" style="1" customWidth="1"/>
    <col min="7487" max="7487" width="4.85546875" style="1" customWidth="1"/>
    <col min="7488" max="7488" width="4.5703125" style="1" customWidth="1"/>
    <col min="7489" max="7489" width="5.7109375" style="1" customWidth="1"/>
    <col min="7490" max="7490" width="4.7109375" style="1" customWidth="1"/>
    <col min="7491" max="7492" width="5.7109375" style="1" customWidth="1"/>
    <col min="7493" max="7493" width="6.5703125" style="1" customWidth="1"/>
    <col min="7494" max="7494" width="7.140625" style="1" customWidth="1"/>
    <col min="7495" max="7507" width="5.7109375" style="1" customWidth="1"/>
    <col min="7508" max="7508" width="6.5703125" style="1" customWidth="1"/>
    <col min="7509" max="7509" width="6.85546875" style="1" customWidth="1"/>
    <col min="7510" max="7510" width="6.140625" style="1" customWidth="1"/>
    <col min="7511" max="7511" width="18.85546875" style="1" customWidth="1"/>
    <col min="7512" max="7682" width="8.42578125" style="1"/>
    <col min="7683" max="7683" width="11" style="1" customWidth="1"/>
    <col min="7684" max="7684" width="17.42578125" style="1" customWidth="1"/>
    <col min="7685" max="7685" width="10.5703125" style="1" customWidth="1"/>
    <col min="7686" max="7686" width="9.5703125" style="1" customWidth="1"/>
    <col min="7687" max="7691" width="8" style="1" customWidth="1"/>
    <col min="7692" max="7692" width="9.5703125" style="1" customWidth="1"/>
    <col min="7693" max="7693" width="8" style="1" customWidth="1"/>
    <col min="7694" max="7694" width="19.42578125" style="1" customWidth="1"/>
    <col min="7695" max="7695" width="6" style="1" customWidth="1"/>
    <col min="7696" max="7696" width="5.42578125" style="1" customWidth="1"/>
    <col min="7697" max="7697" width="6.42578125" style="1" customWidth="1"/>
    <col min="7698" max="7698" width="5.5703125" style="1" customWidth="1"/>
    <col min="7699" max="7699" width="5.140625" style="1" customWidth="1"/>
    <col min="7700" max="7700" width="5.42578125" style="1" customWidth="1"/>
    <col min="7701" max="7702" width="5.140625" style="1" customWidth="1"/>
    <col min="7703" max="7703" width="6" style="1" customWidth="1"/>
    <col min="7704" max="7704" width="5.140625" style="1" customWidth="1"/>
    <col min="7705" max="7705" width="5" style="1" customWidth="1"/>
    <col min="7706" max="7706" width="6.140625" style="1" customWidth="1"/>
    <col min="7707" max="7707" width="9.28515625" style="1" customWidth="1"/>
    <col min="7708" max="7708" width="7.140625" style="1" customWidth="1"/>
    <col min="7709" max="7709" width="6.85546875" style="1" customWidth="1"/>
    <col min="7710" max="7710" width="18.7109375" style="1" customWidth="1"/>
    <col min="7711" max="7712" width="5.7109375" style="1" customWidth="1"/>
    <col min="7713" max="7713" width="5.42578125" style="1" customWidth="1"/>
    <col min="7714" max="7715" width="5.7109375" style="1" customWidth="1"/>
    <col min="7716" max="7716" width="6.140625" style="1" customWidth="1"/>
    <col min="7717" max="7728" width="5.7109375" style="1" customWidth="1"/>
    <col min="7729" max="7729" width="8.7109375" style="1" customWidth="1"/>
    <col min="7730" max="7730" width="6.85546875" style="1" customWidth="1"/>
    <col min="7731" max="7731" width="7.140625" style="1" customWidth="1"/>
    <col min="7732" max="7732" width="5.7109375" style="1" customWidth="1"/>
    <col min="7733" max="7733" width="18.5703125" style="1" customWidth="1"/>
    <col min="7734" max="7739" width="5.7109375" style="1" customWidth="1"/>
    <col min="7740" max="7740" width="4.85546875" style="1" customWidth="1"/>
    <col min="7741" max="7742" width="5.7109375" style="1" customWidth="1"/>
    <col min="7743" max="7743" width="4.85546875" style="1" customWidth="1"/>
    <col min="7744" max="7744" width="4.5703125" style="1" customWidth="1"/>
    <col min="7745" max="7745" width="5.7109375" style="1" customWidth="1"/>
    <col min="7746" max="7746" width="4.7109375" style="1" customWidth="1"/>
    <col min="7747" max="7748" width="5.7109375" style="1" customWidth="1"/>
    <col min="7749" max="7749" width="6.5703125" style="1" customWidth="1"/>
    <col min="7750" max="7750" width="7.140625" style="1" customWidth="1"/>
    <col min="7751" max="7763" width="5.7109375" style="1" customWidth="1"/>
    <col min="7764" max="7764" width="6.5703125" style="1" customWidth="1"/>
    <col min="7765" max="7765" width="6.85546875" style="1" customWidth="1"/>
    <col min="7766" max="7766" width="6.140625" style="1" customWidth="1"/>
    <col min="7767" max="7767" width="18.85546875" style="1" customWidth="1"/>
    <col min="7768" max="7938" width="8.42578125" style="1"/>
    <col min="7939" max="7939" width="11" style="1" customWidth="1"/>
    <col min="7940" max="7940" width="17.42578125" style="1" customWidth="1"/>
    <col min="7941" max="7941" width="10.5703125" style="1" customWidth="1"/>
    <col min="7942" max="7942" width="9.5703125" style="1" customWidth="1"/>
    <col min="7943" max="7947" width="8" style="1" customWidth="1"/>
    <col min="7948" max="7948" width="9.5703125" style="1" customWidth="1"/>
    <col min="7949" max="7949" width="8" style="1" customWidth="1"/>
    <col min="7950" max="7950" width="19.42578125" style="1" customWidth="1"/>
    <col min="7951" max="7951" width="6" style="1" customWidth="1"/>
    <col min="7952" max="7952" width="5.42578125" style="1" customWidth="1"/>
    <col min="7953" max="7953" width="6.42578125" style="1" customWidth="1"/>
    <col min="7954" max="7954" width="5.5703125" style="1" customWidth="1"/>
    <col min="7955" max="7955" width="5.140625" style="1" customWidth="1"/>
    <col min="7956" max="7956" width="5.42578125" style="1" customWidth="1"/>
    <col min="7957" max="7958" width="5.140625" style="1" customWidth="1"/>
    <col min="7959" max="7959" width="6" style="1" customWidth="1"/>
    <col min="7960" max="7960" width="5.140625" style="1" customWidth="1"/>
    <col min="7961" max="7961" width="5" style="1" customWidth="1"/>
    <col min="7962" max="7962" width="6.140625" style="1" customWidth="1"/>
    <col min="7963" max="7963" width="9.28515625" style="1" customWidth="1"/>
    <col min="7964" max="7964" width="7.140625" style="1" customWidth="1"/>
    <col min="7965" max="7965" width="6.85546875" style="1" customWidth="1"/>
    <col min="7966" max="7966" width="18.7109375" style="1" customWidth="1"/>
    <col min="7967" max="7968" width="5.7109375" style="1" customWidth="1"/>
    <col min="7969" max="7969" width="5.42578125" style="1" customWidth="1"/>
    <col min="7970" max="7971" width="5.7109375" style="1" customWidth="1"/>
    <col min="7972" max="7972" width="6.140625" style="1" customWidth="1"/>
    <col min="7973" max="7984" width="5.7109375" style="1" customWidth="1"/>
    <col min="7985" max="7985" width="8.7109375" style="1" customWidth="1"/>
    <col min="7986" max="7986" width="6.85546875" style="1" customWidth="1"/>
    <col min="7987" max="7987" width="7.140625" style="1" customWidth="1"/>
    <col min="7988" max="7988" width="5.7109375" style="1" customWidth="1"/>
    <col min="7989" max="7989" width="18.5703125" style="1" customWidth="1"/>
    <col min="7990" max="7995" width="5.7109375" style="1" customWidth="1"/>
    <col min="7996" max="7996" width="4.85546875" style="1" customWidth="1"/>
    <col min="7997" max="7998" width="5.7109375" style="1" customWidth="1"/>
    <col min="7999" max="7999" width="4.85546875" style="1" customWidth="1"/>
    <col min="8000" max="8000" width="4.5703125" style="1" customWidth="1"/>
    <col min="8001" max="8001" width="5.7109375" style="1" customWidth="1"/>
    <col min="8002" max="8002" width="4.7109375" style="1" customWidth="1"/>
    <col min="8003" max="8004" width="5.7109375" style="1" customWidth="1"/>
    <col min="8005" max="8005" width="6.5703125" style="1" customWidth="1"/>
    <col min="8006" max="8006" width="7.140625" style="1" customWidth="1"/>
    <col min="8007" max="8019" width="5.7109375" style="1" customWidth="1"/>
    <col min="8020" max="8020" width="6.5703125" style="1" customWidth="1"/>
    <col min="8021" max="8021" width="6.85546875" style="1" customWidth="1"/>
    <col min="8022" max="8022" width="6.140625" style="1" customWidth="1"/>
    <col min="8023" max="8023" width="18.85546875" style="1" customWidth="1"/>
    <col min="8024" max="8194" width="8.42578125" style="1"/>
    <col min="8195" max="8195" width="11" style="1" customWidth="1"/>
    <col min="8196" max="8196" width="17.42578125" style="1" customWidth="1"/>
    <col min="8197" max="8197" width="10.5703125" style="1" customWidth="1"/>
    <col min="8198" max="8198" width="9.5703125" style="1" customWidth="1"/>
    <col min="8199" max="8203" width="8" style="1" customWidth="1"/>
    <col min="8204" max="8204" width="9.5703125" style="1" customWidth="1"/>
    <col min="8205" max="8205" width="8" style="1" customWidth="1"/>
    <col min="8206" max="8206" width="19.42578125" style="1" customWidth="1"/>
    <col min="8207" max="8207" width="6" style="1" customWidth="1"/>
    <col min="8208" max="8208" width="5.42578125" style="1" customWidth="1"/>
    <col min="8209" max="8209" width="6.42578125" style="1" customWidth="1"/>
    <col min="8210" max="8210" width="5.5703125" style="1" customWidth="1"/>
    <col min="8211" max="8211" width="5.140625" style="1" customWidth="1"/>
    <col min="8212" max="8212" width="5.42578125" style="1" customWidth="1"/>
    <col min="8213" max="8214" width="5.140625" style="1" customWidth="1"/>
    <col min="8215" max="8215" width="6" style="1" customWidth="1"/>
    <col min="8216" max="8216" width="5.140625" style="1" customWidth="1"/>
    <col min="8217" max="8217" width="5" style="1" customWidth="1"/>
    <col min="8218" max="8218" width="6.140625" style="1" customWidth="1"/>
    <col min="8219" max="8219" width="9.28515625" style="1" customWidth="1"/>
    <col min="8220" max="8220" width="7.140625" style="1" customWidth="1"/>
    <col min="8221" max="8221" width="6.85546875" style="1" customWidth="1"/>
    <col min="8222" max="8222" width="18.7109375" style="1" customWidth="1"/>
    <col min="8223" max="8224" width="5.7109375" style="1" customWidth="1"/>
    <col min="8225" max="8225" width="5.42578125" style="1" customWidth="1"/>
    <col min="8226" max="8227" width="5.7109375" style="1" customWidth="1"/>
    <col min="8228" max="8228" width="6.140625" style="1" customWidth="1"/>
    <col min="8229" max="8240" width="5.7109375" style="1" customWidth="1"/>
    <col min="8241" max="8241" width="8.7109375" style="1" customWidth="1"/>
    <col min="8242" max="8242" width="6.85546875" style="1" customWidth="1"/>
    <col min="8243" max="8243" width="7.140625" style="1" customWidth="1"/>
    <col min="8244" max="8244" width="5.7109375" style="1" customWidth="1"/>
    <col min="8245" max="8245" width="18.5703125" style="1" customWidth="1"/>
    <col min="8246" max="8251" width="5.7109375" style="1" customWidth="1"/>
    <col min="8252" max="8252" width="4.85546875" style="1" customWidth="1"/>
    <col min="8253" max="8254" width="5.7109375" style="1" customWidth="1"/>
    <col min="8255" max="8255" width="4.85546875" style="1" customWidth="1"/>
    <col min="8256" max="8256" width="4.5703125" style="1" customWidth="1"/>
    <col min="8257" max="8257" width="5.7109375" style="1" customWidth="1"/>
    <col min="8258" max="8258" width="4.7109375" style="1" customWidth="1"/>
    <col min="8259" max="8260" width="5.7109375" style="1" customWidth="1"/>
    <col min="8261" max="8261" width="6.5703125" style="1" customWidth="1"/>
    <col min="8262" max="8262" width="7.140625" style="1" customWidth="1"/>
    <col min="8263" max="8275" width="5.7109375" style="1" customWidth="1"/>
    <col min="8276" max="8276" width="6.5703125" style="1" customWidth="1"/>
    <col min="8277" max="8277" width="6.85546875" style="1" customWidth="1"/>
    <col min="8278" max="8278" width="6.140625" style="1" customWidth="1"/>
    <col min="8279" max="8279" width="18.85546875" style="1" customWidth="1"/>
    <col min="8280" max="8450" width="8.42578125" style="1"/>
    <col min="8451" max="8451" width="11" style="1" customWidth="1"/>
    <col min="8452" max="8452" width="17.42578125" style="1" customWidth="1"/>
    <col min="8453" max="8453" width="10.5703125" style="1" customWidth="1"/>
    <col min="8454" max="8454" width="9.5703125" style="1" customWidth="1"/>
    <col min="8455" max="8459" width="8" style="1" customWidth="1"/>
    <col min="8460" max="8460" width="9.5703125" style="1" customWidth="1"/>
    <col min="8461" max="8461" width="8" style="1" customWidth="1"/>
    <col min="8462" max="8462" width="19.42578125" style="1" customWidth="1"/>
    <col min="8463" max="8463" width="6" style="1" customWidth="1"/>
    <col min="8464" max="8464" width="5.42578125" style="1" customWidth="1"/>
    <col min="8465" max="8465" width="6.42578125" style="1" customWidth="1"/>
    <col min="8466" max="8466" width="5.5703125" style="1" customWidth="1"/>
    <col min="8467" max="8467" width="5.140625" style="1" customWidth="1"/>
    <col min="8468" max="8468" width="5.42578125" style="1" customWidth="1"/>
    <col min="8469" max="8470" width="5.140625" style="1" customWidth="1"/>
    <col min="8471" max="8471" width="6" style="1" customWidth="1"/>
    <col min="8472" max="8472" width="5.140625" style="1" customWidth="1"/>
    <col min="8473" max="8473" width="5" style="1" customWidth="1"/>
    <col min="8474" max="8474" width="6.140625" style="1" customWidth="1"/>
    <col min="8475" max="8475" width="9.28515625" style="1" customWidth="1"/>
    <col min="8476" max="8476" width="7.140625" style="1" customWidth="1"/>
    <col min="8477" max="8477" width="6.85546875" style="1" customWidth="1"/>
    <col min="8478" max="8478" width="18.7109375" style="1" customWidth="1"/>
    <col min="8479" max="8480" width="5.7109375" style="1" customWidth="1"/>
    <col min="8481" max="8481" width="5.42578125" style="1" customWidth="1"/>
    <col min="8482" max="8483" width="5.7109375" style="1" customWidth="1"/>
    <col min="8484" max="8484" width="6.140625" style="1" customWidth="1"/>
    <col min="8485" max="8496" width="5.7109375" style="1" customWidth="1"/>
    <col min="8497" max="8497" width="8.7109375" style="1" customWidth="1"/>
    <col min="8498" max="8498" width="6.85546875" style="1" customWidth="1"/>
    <col min="8499" max="8499" width="7.140625" style="1" customWidth="1"/>
    <col min="8500" max="8500" width="5.7109375" style="1" customWidth="1"/>
    <col min="8501" max="8501" width="18.5703125" style="1" customWidth="1"/>
    <col min="8502" max="8507" width="5.7109375" style="1" customWidth="1"/>
    <col min="8508" max="8508" width="4.85546875" style="1" customWidth="1"/>
    <col min="8509" max="8510" width="5.7109375" style="1" customWidth="1"/>
    <col min="8511" max="8511" width="4.85546875" style="1" customWidth="1"/>
    <col min="8512" max="8512" width="4.5703125" style="1" customWidth="1"/>
    <col min="8513" max="8513" width="5.7109375" style="1" customWidth="1"/>
    <col min="8514" max="8514" width="4.7109375" style="1" customWidth="1"/>
    <col min="8515" max="8516" width="5.7109375" style="1" customWidth="1"/>
    <col min="8517" max="8517" width="6.5703125" style="1" customWidth="1"/>
    <col min="8518" max="8518" width="7.140625" style="1" customWidth="1"/>
    <col min="8519" max="8531" width="5.7109375" style="1" customWidth="1"/>
    <col min="8532" max="8532" width="6.5703125" style="1" customWidth="1"/>
    <col min="8533" max="8533" width="6.85546875" style="1" customWidth="1"/>
    <col min="8534" max="8534" width="6.140625" style="1" customWidth="1"/>
    <col min="8535" max="8535" width="18.85546875" style="1" customWidth="1"/>
    <col min="8536" max="8706" width="8.42578125" style="1"/>
    <col min="8707" max="8707" width="11" style="1" customWidth="1"/>
    <col min="8708" max="8708" width="17.42578125" style="1" customWidth="1"/>
    <col min="8709" max="8709" width="10.5703125" style="1" customWidth="1"/>
    <col min="8710" max="8710" width="9.5703125" style="1" customWidth="1"/>
    <col min="8711" max="8715" width="8" style="1" customWidth="1"/>
    <col min="8716" max="8716" width="9.5703125" style="1" customWidth="1"/>
    <col min="8717" max="8717" width="8" style="1" customWidth="1"/>
    <col min="8718" max="8718" width="19.42578125" style="1" customWidth="1"/>
    <col min="8719" max="8719" width="6" style="1" customWidth="1"/>
    <col min="8720" max="8720" width="5.42578125" style="1" customWidth="1"/>
    <col min="8721" max="8721" width="6.42578125" style="1" customWidth="1"/>
    <col min="8722" max="8722" width="5.5703125" style="1" customWidth="1"/>
    <col min="8723" max="8723" width="5.140625" style="1" customWidth="1"/>
    <col min="8724" max="8724" width="5.42578125" style="1" customWidth="1"/>
    <col min="8725" max="8726" width="5.140625" style="1" customWidth="1"/>
    <col min="8727" max="8727" width="6" style="1" customWidth="1"/>
    <col min="8728" max="8728" width="5.140625" style="1" customWidth="1"/>
    <col min="8729" max="8729" width="5" style="1" customWidth="1"/>
    <col min="8730" max="8730" width="6.140625" style="1" customWidth="1"/>
    <col min="8731" max="8731" width="9.28515625" style="1" customWidth="1"/>
    <col min="8732" max="8732" width="7.140625" style="1" customWidth="1"/>
    <col min="8733" max="8733" width="6.85546875" style="1" customWidth="1"/>
    <col min="8734" max="8734" width="18.7109375" style="1" customWidth="1"/>
    <col min="8735" max="8736" width="5.7109375" style="1" customWidth="1"/>
    <col min="8737" max="8737" width="5.42578125" style="1" customWidth="1"/>
    <col min="8738" max="8739" width="5.7109375" style="1" customWidth="1"/>
    <col min="8740" max="8740" width="6.140625" style="1" customWidth="1"/>
    <col min="8741" max="8752" width="5.7109375" style="1" customWidth="1"/>
    <col min="8753" max="8753" width="8.7109375" style="1" customWidth="1"/>
    <col min="8754" max="8754" width="6.85546875" style="1" customWidth="1"/>
    <col min="8755" max="8755" width="7.140625" style="1" customWidth="1"/>
    <col min="8756" max="8756" width="5.7109375" style="1" customWidth="1"/>
    <col min="8757" max="8757" width="18.5703125" style="1" customWidth="1"/>
    <col min="8758" max="8763" width="5.7109375" style="1" customWidth="1"/>
    <col min="8764" max="8764" width="4.85546875" style="1" customWidth="1"/>
    <col min="8765" max="8766" width="5.7109375" style="1" customWidth="1"/>
    <col min="8767" max="8767" width="4.85546875" style="1" customWidth="1"/>
    <col min="8768" max="8768" width="4.5703125" style="1" customWidth="1"/>
    <col min="8769" max="8769" width="5.7109375" style="1" customWidth="1"/>
    <col min="8770" max="8770" width="4.7109375" style="1" customWidth="1"/>
    <col min="8771" max="8772" width="5.7109375" style="1" customWidth="1"/>
    <col min="8773" max="8773" width="6.5703125" style="1" customWidth="1"/>
    <col min="8774" max="8774" width="7.140625" style="1" customWidth="1"/>
    <col min="8775" max="8787" width="5.7109375" style="1" customWidth="1"/>
    <col min="8788" max="8788" width="6.5703125" style="1" customWidth="1"/>
    <col min="8789" max="8789" width="6.85546875" style="1" customWidth="1"/>
    <col min="8790" max="8790" width="6.140625" style="1" customWidth="1"/>
    <col min="8791" max="8791" width="18.85546875" style="1" customWidth="1"/>
    <col min="8792" max="8962" width="8.42578125" style="1"/>
    <col min="8963" max="8963" width="11" style="1" customWidth="1"/>
    <col min="8964" max="8964" width="17.42578125" style="1" customWidth="1"/>
    <col min="8965" max="8965" width="10.5703125" style="1" customWidth="1"/>
    <col min="8966" max="8966" width="9.5703125" style="1" customWidth="1"/>
    <col min="8967" max="8971" width="8" style="1" customWidth="1"/>
    <col min="8972" max="8972" width="9.5703125" style="1" customWidth="1"/>
    <col min="8973" max="8973" width="8" style="1" customWidth="1"/>
    <col min="8974" max="8974" width="19.42578125" style="1" customWidth="1"/>
    <col min="8975" max="8975" width="6" style="1" customWidth="1"/>
    <col min="8976" max="8976" width="5.42578125" style="1" customWidth="1"/>
    <col min="8977" max="8977" width="6.42578125" style="1" customWidth="1"/>
    <col min="8978" max="8978" width="5.5703125" style="1" customWidth="1"/>
    <col min="8979" max="8979" width="5.140625" style="1" customWidth="1"/>
    <col min="8980" max="8980" width="5.42578125" style="1" customWidth="1"/>
    <col min="8981" max="8982" width="5.140625" style="1" customWidth="1"/>
    <col min="8983" max="8983" width="6" style="1" customWidth="1"/>
    <col min="8984" max="8984" width="5.140625" style="1" customWidth="1"/>
    <col min="8985" max="8985" width="5" style="1" customWidth="1"/>
    <col min="8986" max="8986" width="6.140625" style="1" customWidth="1"/>
    <col min="8987" max="8987" width="9.28515625" style="1" customWidth="1"/>
    <col min="8988" max="8988" width="7.140625" style="1" customWidth="1"/>
    <col min="8989" max="8989" width="6.85546875" style="1" customWidth="1"/>
    <col min="8990" max="8990" width="18.7109375" style="1" customWidth="1"/>
    <col min="8991" max="8992" width="5.7109375" style="1" customWidth="1"/>
    <col min="8993" max="8993" width="5.42578125" style="1" customWidth="1"/>
    <col min="8994" max="8995" width="5.7109375" style="1" customWidth="1"/>
    <col min="8996" max="8996" width="6.140625" style="1" customWidth="1"/>
    <col min="8997" max="9008" width="5.7109375" style="1" customWidth="1"/>
    <col min="9009" max="9009" width="8.7109375" style="1" customWidth="1"/>
    <col min="9010" max="9010" width="6.85546875" style="1" customWidth="1"/>
    <col min="9011" max="9011" width="7.140625" style="1" customWidth="1"/>
    <col min="9012" max="9012" width="5.7109375" style="1" customWidth="1"/>
    <col min="9013" max="9013" width="18.5703125" style="1" customWidth="1"/>
    <col min="9014" max="9019" width="5.7109375" style="1" customWidth="1"/>
    <col min="9020" max="9020" width="4.85546875" style="1" customWidth="1"/>
    <col min="9021" max="9022" width="5.7109375" style="1" customWidth="1"/>
    <col min="9023" max="9023" width="4.85546875" style="1" customWidth="1"/>
    <col min="9024" max="9024" width="4.5703125" style="1" customWidth="1"/>
    <col min="9025" max="9025" width="5.7109375" style="1" customWidth="1"/>
    <col min="9026" max="9026" width="4.7109375" style="1" customWidth="1"/>
    <col min="9027" max="9028" width="5.7109375" style="1" customWidth="1"/>
    <col min="9029" max="9029" width="6.5703125" style="1" customWidth="1"/>
    <col min="9030" max="9030" width="7.140625" style="1" customWidth="1"/>
    <col min="9031" max="9043" width="5.7109375" style="1" customWidth="1"/>
    <col min="9044" max="9044" width="6.5703125" style="1" customWidth="1"/>
    <col min="9045" max="9045" width="6.85546875" style="1" customWidth="1"/>
    <col min="9046" max="9046" width="6.140625" style="1" customWidth="1"/>
    <col min="9047" max="9047" width="18.85546875" style="1" customWidth="1"/>
    <col min="9048" max="9218" width="8.42578125" style="1"/>
    <col min="9219" max="9219" width="11" style="1" customWidth="1"/>
    <col min="9220" max="9220" width="17.42578125" style="1" customWidth="1"/>
    <col min="9221" max="9221" width="10.5703125" style="1" customWidth="1"/>
    <col min="9222" max="9222" width="9.5703125" style="1" customWidth="1"/>
    <col min="9223" max="9227" width="8" style="1" customWidth="1"/>
    <col min="9228" max="9228" width="9.5703125" style="1" customWidth="1"/>
    <col min="9229" max="9229" width="8" style="1" customWidth="1"/>
    <col min="9230" max="9230" width="19.42578125" style="1" customWidth="1"/>
    <col min="9231" max="9231" width="6" style="1" customWidth="1"/>
    <col min="9232" max="9232" width="5.42578125" style="1" customWidth="1"/>
    <col min="9233" max="9233" width="6.42578125" style="1" customWidth="1"/>
    <col min="9234" max="9234" width="5.5703125" style="1" customWidth="1"/>
    <col min="9235" max="9235" width="5.140625" style="1" customWidth="1"/>
    <col min="9236" max="9236" width="5.42578125" style="1" customWidth="1"/>
    <col min="9237" max="9238" width="5.140625" style="1" customWidth="1"/>
    <col min="9239" max="9239" width="6" style="1" customWidth="1"/>
    <col min="9240" max="9240" width="5.140625" style="1" customWidth="1"/>
    <col min="9241" max="9241" width="5" style="1" customWidth="1"/>
    <col min="9242" max="9242" width="6.140625" style="1" customWidth="1"/>
    <col min="9243" max="9243" width="9.28515625" style="1" customWidth="1"/>
    <col min="9244" max="9244" width="7.140625" style="1" customWidth="1"/>
    <col min="9245" max="9245" width="6.85546875" style="1" customWidth="1"/>
    <col min="9246" max="9246" width="18.7109375" style="1" customWidth="1"/>
    <col min="9247" max="9248" width="5.7109375" style="1" customWidth="1"/>
    <col min="9249" max="9249" width="5.42578125" style="1" customWidth="1"/>
    <col min="9250" max="9251" width="5.7109375" style="1" customWidth="1"/>
    <col min="9252" max="9252" width="6.140625" style="1" customWidth="1"/>
    <col min="9253" max="9264" width="5.7109375" style="1" customWidth="1"/>
    <col min="9265" max="9265" width="8.7109375" style="1" customWidth="1"/>
    <col min="9266" max="9266" width="6.85546875" style="1" customWidth="1"/>
    <col min="9267" max="9267" width="7.140625" style="1" customWidth="1"/>
    <col min="9268" max="9268" width="5.7109375" style="1" customWidth="1"/>
    <col min="9269" max="9269" width="18.5703125" style="1" customWidth="1"/>
    <col min="9270" max="9275" width="5.7109375" style="1" customWidth="1"/>
    <col min="9276" max="9276" width="4.85546875" style="1" customWidth="1"/>
    <col min="9277" max="9278" width="5.7109375" style="1" customWidth="1"/>
    <col min="9279" max="9279" width="4.85546875" style="1" customWidth="1"/>
    <col min="9280" max="9280" width="4.5703125" style="1" customWidth="1"/>
    <col min="9281" max="9281" width="5.7109375" style="1" customWidth="1"/>
    <col min="9282" max="9282" width="4.7109375" style="1" customWidth="1"/>
    <col min="9283" max="9284" width="5.7109375" style="1" customWidth="1"/>
    <col min="9285" max="9285" width="6.5703125" style="1" customWidth="1"/>
    <col min="9286" max="9286" width="7.140625" style="1" customWidth="1"/>
    <col min="9287" max="9299" width="5.7109375" style="1" customWidth="1"/>
    <col min="9300" max="9300" width="6.5703125" style="1" customWidth="1"/>
    <col min="9301" max="9301" width="6.85546875" style="1" customWidth="1"/>
    <col min="9302" max="9302" width="6.140625" style="1" customWidth="1"/>
    <col min="9303" max="9303" width="18.85546875" style="1" customWidth="1"/>
    <col min="9304" max="9474" width="8.42578125" style="1"/>
    <col min="9475" max="9475" width="11" style="1" customWidth="1"/>
    <col min="9476" max="9476" width="17.42578125" style="1" customWidth="1"/>
    <col min="9477" max="9477" width="10.5703125" style="1" customWidth="1"/>
    <col min="9478" max="9478" width="9.5703125" style="1" customWidth="1"/>
    <col min="9479" max="9483" width="8" style="1" customWidth="1"/>
    <col min="9484" max="9484" width="9.5703125" style="1" customWidth="1"/>
    <col min="9485" max="9485" width="8" style="1" customWidth="1"/>
    <col min="9486" max="9486" width="19.42578125" style="1" customWidth="1"/>
    <col min="9487" max="9487" width="6" style="1" customWidth="1"/>
    <col min="9488" max="9488" width="5.42578125" style="1" customWidth="1"/>
    <col min="9489" max="9489" width="6.42578125" style="1" customWidth="1"/>
    <col min="9490" max="9490" width="5.5703125" style="1" customWidth="1"/>
    <col min="9491" max="9491" width="5.140625" style="1" customWidth="1"/>
    <col min="9492" max="9492" width="5.42578125" style="1" customWidth="1"/>
    <col min="9493" max="9494" width="5.140625" style="1" customWidth="1"/>
    <col min="9495" max="9495" width="6" style="1" customWidth="1"/>
    <col min="9496" max="9496" width="5.140625" style="1" customWidth="1"/>
    <col min="9497" max="9497" width="5" style="1" customWidth="1"/>
    <col min="9498" max="9498" width="6.140625" style="1" customWidth="1"/>
    <col min="9499" max="9499" width="9.28515625" style="1" customWidth="1"/>
    <col min="9500" max="9500" width="7.140625" style="1" customWidth="1"/>
    <col min="9501" max="9501" width="6.85546875" style="1" customWidth="1"/>
    <col min="9502" max="9502" width="18.7109375" style="1" customWidth="1"/>
    <col min="9503" max="9504" width="5.7109375" style="1" customWidth="1"/>
    <col min="9505" max="9505" width="5.42578125" style="1" customWidth="1"/>
    <col min="9506" max="9507" width="5.7109375" style="1" customWidth="1"/>
    <col min="9508" max="9508" width="6.140625" style="1" customWidth="1"/>
    <col min="9509" max="9520" width="5.7109375" style="1" customWidth="1"/>
    <col min="9521" max="9521" width="8.7109375" style="1" customWidth="1"/>
    <col min="9522" max="9522" width="6.85546875" style="1" customWidth="1"/>
    <col min="9523" max="9523" width="7.140625" style="1" customWidth="1"/>
    <col min="9524" max="9524" width="5.7109375" style="1" customWidth="1"/>
    <col min="9525" max="9525" width="18.5703125" style="1" customWidth="1"/>
    <col min="9526" max="9531" width="5.7109375" style="1" customWidth="1"/>
    <col min="9532" max="9532" width="4.85546875" style="1" customWidth="1"/>
    <col min="9533" max="9534" width="5.7109375" style="1" customWidth="1"/>
    <col min="9535" max="9535" width="4.85546875" style="1" customWidth="1"/>
    <col min="9536" max="9536" width="4.5703125" style="1" customWidth="1"/>
    <col min="9537" max="9537" width="5.7109375" style="1" customWidth="1"/>
    <col min="9538" max="9538" width="4.7109375" style="1" customWidth="1"/>
    <col min="9539" max="9540" width="5.7109375" style="1" customWidth="1"/>
    <col min="9541" max="9541" width="6.5703125" style="1" customWidth="1"/>
    <col min="9542" max="9542" width="7.140625" style="1" customWidth="1"/>
    <col min="9543" max="9555" width="5.7109375" style="1" customWidth="1"/>
    <col min="9556" max="9556" width="6.5703125" style="1" customWidth="1"/>
    <col min="9557" max="9557" width="6.85546875" style="1" customWidth="1"/>
    <col min="9558" max="9558" width="6.140625" style="1" customWidth="1"/>
    <col min="9559" max="9559" width="18.85546875" style="1" customWidth="1"/>
    <col min="9560" max="9730" width="8.42578125" style="1"/>
    <col min="9731" max="9731" width="11" style="1" customWidth="1"/>
    <col min="9732" max="9732" width="17.42578125" style="1" customWidth="1"/>
    <col min="9733" max="9733" width="10.5703125" style="1" customWidth="1"/>
    <col min="9734" max="9734" width="9.5703125" style="1" customWidth="1"/>
    <col min="9735" max="9739" width="8" style="1" customWidth="1"/>
    <col min="9740" max="9740" width="9.5703125" style="1" customWidth="1"/>
    <col min="9741" max="9741" width="8" style="1" customWidth="1"/>
    <col min="9742" max="9742" width="19.42578125" style="1" customWidth="1"/>
    <col min="9743" max="9743" width="6" style="1" customWidth="1"/>
    <col min="9744" max="9744" width="5.42578125" style="1" customWidth="1"/>
    <col min="9745" max="9745" width="6.42578125" style="1" customWidth="1"/>
    <col min="9746" max="9746" width="5.5703125" style="1" customWidth="1"/>
    <col min="9747" max="9747" width="5.140625" style="1" customWidth="1"/>
    <col min="9748" max="9748" width="5.42578125" style="1" customWidth="1"/>
    <col min="9749" max="9750" width="5.140625" style="1" customWidth="1"/>
    <col min="9751" max="9751" width="6" style="1" customWidth="1"/>
    <col min="9752" max="9752" width="5.140625" style="1" customWidth="1"/>
    <col min="9753" max="9753" width="5" style="1" customWidth="1"/>
    <col min="9754" max="9754" width="6.140625" style="1" customWidth="1"/>
    <col min="9755" max="9755" width="9.28515625" style="1" customWidth="1"/>
    <col min="9756" max="9756" width="7.140625" style="1" customWidth="1"/>
    <col min="9757" max="9757" width="6.85546875" style="1" customWidth="1"/>
    <col min="9758" max="9758" width="18.7109375" style="1" customWidth="1"/>
    <col min="9759" max="9760" width="5.7109375" style="1" customWidth="1"/>
    <col min="9761" max="9761" width="5.42578125" style="1" customWidth="1"/>
    <col min="9762" max="9763" width="5.7109375" style="1" customWidth="1"/>
    <col min="9764" max="9764" width="6.140625" style="1" customWidth="1"/>
    <col min="9765" max="9776" width="5.7109375" style="1" customWidth="1"/>
    <col min="9777" max="9777" width="8.7109375" style="1" customWidth="1"/>
    <col min="9778" max="9778" width="6.85546875" style="1" customWidth="1"/>
    <col min="9779" max="9779" width="7.140625" style="1" customWidth="1"/>
    <col min="9780" max="9780" width="5.7109375" style="1" customWidth="1"/>
    <col min="9781" max="9781" width="18.5703125" style="1" customWidth="1"/>
    <col min="9782" max="9787" width="5.7109375" style="1" customWidth="1"/>
    <col min="9788" max="9788" width="4.85546875" style="1" customWidth="1"/>
    <col min="9789" max="9790" width="5.7109375" style="1" customWidth="1"/>
    <col min="9791" max="9791" width="4.85546875" style="1" customWidth="1"/>
    <col min="9792" max="9792" width="4.5703125" style="1" customWidth="1"/>
    <col min="9793" max="9793" width="5.7109375" style="1" customWidth="1"/>
    <col min="9794" max="9794" width="4.7109375" style="1" customWidth="1"/>
    <col min="9795" max="9796" width="5.7109375" style="1" customWidth="1"/>
    <col min="9797" max="9797" width="6.5703125" style="1" customWidth="1"/>
    <col min="9798" max="9798" width="7.140625" style="1" customWidth="1"/>
    <col min="9799" max="9811" width="5.7109375" style="1" customWidth="1"/>
    <col min="9812" max="9812" width="6.5703125" style="1" customWidth="1"/>
    <col min="9813" max="9813" width="6.85546875" style="1" customWidth="1"/>
    <col min="9814" max="9814" width="6.140625" style="1" customWidth="1"/>
    <col min="9815" max="9815" width="18.85546875" style="1" customWidth="1"/>
    <col min="9816" max="9986" width="8.42578125" style="1"/>
    <col min="9987" max="9987" width="11" style="1" customWidth="1"/>
    <col min="9988" max="9988" width="17.42578125" style="1" customWidth="1"/>
    <col min="9989" max="9989" width="10.5703125" style="1" customWidth="1"/>
    <col min="9990" max="9990" width="9.5703125" style="1" customWidth="1"/>
    <col min="9991" max="9995" width="8" style="1" customWidth="1"/>
    <col min="9996" max="9996" width="9.5703125" style="1" customWidth="1"/>
    <col min="9997" max="9997" width="8" style="1" customWidth="1"/>
    <col min="9998" max="9998" width="19.42578125" style="1" customWidth="1"/>
    <col min="9999" max="9999" width="6" style="1" customWidth="1"/>
    <col min="10000" max="10000" width="5.42578125" style="1" customWidth="1"/>
    <col min="10001" max="10001" width="6.42578125" style="1" customWidth="1"/>
    <col min="10002" max="10002" width="5.5703125" style="1" customWidth="1"/>
    <col min="10003" max="10003" width="5.140625" style="1" customWidth="1"/>
    <col min="10004" max="10004" width="5.42578125" style="1" customWidth="1"/>
    <col min="10005" max="10006" width="5.140625" style="1" customWidth="1"/>
    <col min="10007" max="10007" width="6" style="1" customWidth="1"/>
    <col min="10008" max="10008" width="5.140625" style="1" customWidth="1"/>
    <col min="10009" max="10009" width="5" style="1" customWidth="1"/>
    <col min="10010" max="10010" width="6.140625" style="1" customWidth="1"/>
    <col min="10011" max="10011" width="9.28515625" style="1" customWidth="1"/>
    <col min="10012" max="10012" width="7.140625" style="1" customWidth="1"/>
    <col min="10013" max="10013" width="6.85546875" style="1" customWidth="1"/>
    <col min="10014" max="10014" width="18.7109375" style="1" customWidth="1"/>
    <col min="10015" max="10016" width="5.7109375" style="1" customWidth="1"/>
    <col min="10017" max="10017" width="5.42578125" style="1" customWidth="1"/>
    <col min="10018" max="10019" width="5.7109375" style="1" customWidth="1"/>
    <col min="10020" max="10020" width="6.140625" style="1" customWidth="1"/>
    <col min="10021" max="10032" width="5.7109375" style="1" customWidth="1"/>
    <col min="10033" max="10033" width="8.7109375" style="1" customWidth="1"/>
    <col min="10034" max="10034" width="6.85546875" style="1" customWidth="1"/>
    <col min="10035" max="10035" width="7.140625" style="1" customWidth="1"/>
    <col min="10036" max="10036" width="5.7109375" style="1" customWidth="1"/>
    <col min="10037" max="10037" width="18.5703125" style="1" customWidth="1"/>
    <col min="10038" max="10043" width="5.7109375" style="1" customWidth="1"/>
    <col min="10044" max="10044" width="4.85546875" style="1" customWidth="1"/>
    <col min="10045" max="10046" width="5.7109375" style="1" customWidth="1"/>
    <col min="10047" max="10047" width="4.85546875" style="1" customWidth="1"/>
    <col min="10048" max="10048" width="4.5703125" style="1" customWidth="1"/>
    <col min="10049" max="10049" width="5.7109375" style="1" customWidth="1"/>
    <col min="10050" max="10050" width="4.7109375" style="1" customWidth="1"/>
    <col min="10051" max="10052" width="5.7109375" style="1" customWidth="1"/>
    <col min="10053" max="10053" width="6.5703125" style="1" customWidth="1"/>
    <col min="10054" max="10054" width="7.140625" style="1" customWidth="1"/>
    <col min="10055" max="10067" width="5.7109375" style="1" customWidth="1"/>
    <col min="10068" max="10068" width="6.5703125" style="1" customWidth="1"/>
    <col min="10069" max="10069" width="6.85546875" style="1" customWidth="1"/>
    <col min="10070" max="10070" width="6.140625" style="1" customWidth="1"/>
    <col min="10071" max="10071" width="18.85546875" style="1" customWidth="1"/>
    <col min="10072" max="10242" width="8.42578125" style="1"/>
    <col min="10243" max="10243" width="11" style="1" customWidth="1"/>
    <col min="10244" max="10244" width="17.42578125" style="1" customWidth="1"/>
    <col min="10245" max="10245" width="10.5703125" style="1" customWidth="1"/>
    <col min="10246" max="10246" width="9.5703125" style="1" customWidth="1"/>
    <col min="10247" max="10251" width="8" style="1" customWidth="1"/>
    <col min="10252" max="10252" width="9.5703125" style="1" customWidth="1"/>
    <col min="10253" max="10253" width="8" style="1" customWidth="1"/>
    <col min="10254" max="10254" width="19.42578125" style="1" customWidth="1"/>
    <col min="10255" max="10255" width="6" style="1" customWidth="1"/>
    <col min="10256" max="10256" width="5.42578125" style="1" customWidth="1"/>
    <col min="10257" max="10257" width="6.42578125" style="1" customWidth="1"/>
    <col min="10258" max="10258" width="5.5703125" style="1" customWidth="1"/>
    <col min="10259" max="10259" width="5.140625" style="1" customWidth="1"/>
    <col min="10260" max="10260" width="5.42578125" style="1" customWidth="1"/>
    <col min="10261" max="10262" width="5.140625" style="1" customWidth="1"/>
    <col min="10263" max="10263" width="6" style="1" customWidth="1"/>
    <col min="10264" max="10264" width="5.140625" style="1" customWidth="1"/>
    <col min="10265" max="10265" width="5" style="1" customWidth="1"/>
    <col min="10266" max="10266" width="6.140625" style="1" customWidth="1"/>
    <col min="10267" max="10267" width="9.28515625" style="1" customWidth="1"/>
    <col min="10268" max="10268" width="7.140625" style="1" customWidth="1"/>
    <col min="10269" max="10269" width="6.85546875" style="1" customWidth="1"/>
    <col min="10270" max="10270" width="18.7109375" style="1" customWidth="1"/>
    <col min="10271" max="10272" width="5.7109375" style="1" customWidth="1"/>
    <col min="10273" max="10273" width="5.42578125" style="1" customWidth="1"/>
    <col min="10274" max="10275" width="5.7109375" style="1" customWidth="1"/>
    <col min="10276" max="10276" width="6.140625" style="1" customWidth="1"/>
    <col min="10277" max="10288" width="5.7109375" style="1" customWidth="1"/>
    <col min="10289" max="10289" width="8.7109375" style="1" customWidth="1"/>
    <col min="10290" max="10290" width="6.85546875" style="1" customWidth="1"/>
    <col min="10291" max="10291" width="7.140625" style="1" customWidth="1"/>
    <col min="10292" max="10292" width="5.7109375" style="1" customWidth="1"/>
    <col min="10293" max="10293" width="18.5703125" style="1" customWidth="1"/>
    <col min="10294" max="10299" width="5.7109375" style="1" customWidth="1"/>
    <col min="10300" max="10300" width="4.85546875" style="1" customWidth="1"/>
    <col min="10301" max="10302" width="5.7109375" style="1" customWidth="1"/>
    <col min="10303" max="10303" width="4.85546875" style="1" customWidth="1"/>
    <col min="10304" max="10304" width="4.5703125" style="1" customWidth="1"/>
    <col min="10305" max="10305" width="5.7109375" style="1" customWidth="1"/>
    <col min="10306" max="10306" width="4.7109375" style="1" customWidth="1"/>
    <col min="10307" max="10308" width="5.7109375" style="1" customWidth="1"/>
    <col min="10309" max="10309" width="6.5703125" style="1" customWidth="1"/>
    <col min="10310" max="10310" width="7.140625" style="1" customWidth="1"/>
    <col min="10311" max="10323" width="5.7109375" style="1" customWidth="1"/>
    <col min="10324" max="10324" width="6.5703125" style="1" customWidth="1"/>
    <col min="10325" max="10325" width="6.85546875" style="1" customWidth="1"/>
    <col min="10326" max="10326" width="6.140625" style="1" customWidth="1"/>
    <col min="10327" max="10327" width="18.85546875" style="1" customWidth="1"/>
    <col min="10328" max="10498" width="8.42578125" style="1"/>
    <col min="10499" max="10499" width="11" style="1" customWidth="1"/>
    <col min="10500" max="10500" width="17.42578125" style="1" customWidth="1"/>
    <col min="10501" max="10501" width="10.5703125" style="1" customWidth="1"/>
    <col min="10502" max="10502" width="9.5703125" style="1" customWidth="1"/>
    <col min="10503" max="10507" width="8" style="1" customWidth="1"/>
    <col min="10508" max="10508" width="9.5703125" style="1" customWidth="1"/>
    <col min="10509" max="10509" width="8" style="1" customWidth="1"/>
    <col min="10510" max="10510" width="19.42578125" style="1" customWidth="1"/>
    <col min="10511" max="10511" width="6" style="1" customWidth="1"/>
    <col min="10512" max="10512" width="5.42578125" style="1" customWidth="1"/>
    <col min="10513" max="10513" width="6.42578125" style="1" customWidth="1"/>
    <col min="10514" max="10514" width="5.5703125" style="1" customWidth="1"/>
    <col min="10515" max="10515" width="5.140625" style="1" customWidth="1"/>
    <col min="10516" max="10516" width="5.42578125" style="1" customWidth="1"/>
    <col min="10517" max="10518" width="5.140625" style="1" customWidth="1"/>
    <col min="10519" max="10519" width="6" style="1" customWidth="1"/>
    <col min="10520" max="10520" width="5.140625" style="1" customWidth="1"/>
    <col min="10521" max="10521" width="5" style="1" customWidth="1"/>
    <col min="10522" max="10522" width="6.140625" style="1" customWidth="1"/>
    <col min="10523" max="10523" width="9.28515625" style="1" customWidth="1"/>
    <col min="10524" max="10524" width="7.140625" style="1" customWidth="1"/>
    <col min="10525" max="10525" width="6.85546875" style="1" customWidth="1"/>
    <col min="10526" max="10526" width="18.7109375" style="1" customWidth="1"/>
    <col min="10527" max="10528" width="5.7109375" style="1" customWidth="1"/>
    <col min="10529" max="10529" width="5.42578125" style="1" customWidth="1"/>
    <col min="10530" max="10531" width="5.7109375" style="1" customWidth="1"/>
    <col min="10532" max="10532" width="6.140625" style="1" customWidth="1"/>
    <col min="10533" max="10544" width="5.7109375" style="1" customWidth="1"/>
    <col min="10545" max="10545" width="8.7109375" style="1" customWidth="1"/>
    <col min="10546" max="10546" width="6.85546875" style="1" customWidth="1"/>
    <col min="10547" max="10547" width="7.140625" style="1" customWidth="1"/>
    <col min="10548" max="10548" width="5.7109375" style="1" customWidth="1"/>
    <col min="10549" max="10549" width="18.5703125" style="1" customWidth="1"/>
    <col min="10550" max="10555" width="5.7109375" style="1" customWidth="1"/>
    <col min="10556" max="10556" width="4.85546875" style="1" customWidth="1"/>
    <col min="10557" max="10558" width="5.7109375" style="1" customWidth="1"/>
    <col min="10559" max="10559" width="4.85546875" style="1" customWidth="1"/>
    <col min="10560" max="10560" width="4.5703125" style="1" customWidth="1"/>
    <col min="10561" max="10561" width="5.7109375" style="1" customWidth="1"/>
    <col min="10562" max="10562" width="4.7109375" style="1" customWidth="1"/>
    <col min="10563" max="10564" width="5.7109375" style="1" customWidth="1"/>
    <col min="10565" max="10565" width="6.5703125" style="1" customWidth="1"/>
    <col min="10566" max="10566" width="7.140625" style="1" customWidth="1"/>
    <col min="10567" max="10579" width="5.7109375" style="1" customWidth="1"/>
    <col min="10580" max="10580" width="6.5703125" style="1" customWidth="1"/>
    <col min="10581" max="10581" width="6.85546875" style="1" customWidth="1"/>
    <col min="10582" max="10582" width="6.140625" style="1" customWidth="1"/>
    <col min="10583" max="10583" width="18.85546875" style="1" customWidth="1"/>
    <col min="10584" max="10754" width="8.42578125" style="1"/>
    <col min="10755" max="10755" width="11" style="1" customWidth="1"/>
    <col min="10756" max="10756" width="17.42578125" style="1" customWidth="1"/>
    <col min="10757" max="10757" width="10.5703125" style="1" customWidth="1"/>
    <col min="10758" max="10758" width="9.5703125" style="1" customWidth="1"/>
    <col min="10759" max="10763" width="8" style="1" customWidth="1"/>
    <col min="10764" max="10764" width="9.5703125" style="1" customWidth="1"/>
    <col min="10765" max="10765" width="8" style="1" customWidth="1"/>
    <col min="10766" max="10766" width="19.42578125" style="1" customWidth="1"/>
    <col min="10767" max="10767" width="6" style="1" customWidth="1"/>
    <col min="10768" max="10768" width="5.42578125" style="1" customWidth="1"/>
    <col min="10769" max="10769" width="6.42578125" style="1" customWidth="1"/>
    <col min="10770" max="10770" width="5.5703125" style="1" customWidth="1"/>
    <col min="10771" max="10771" width="5.140625" style="1" customWidth="1"/>
    <col min="10772" max="10772" width="5.42578125" style="1" customWidth="1"/>
    <col min="10773" max="10774" width="5.140625" style="1" customWidth="1"/>
    <col min="10775" max="10775" width="6" style="1" customWidth="1"/>
    <col min="10776" max="10776" width="5.140625" style="1" customWidth="1"/>
    <col min="10777" max="10777" width="5" style="1" customWidth="1"/>
    <col min="10778" max="10778" width="6.140625" style="1" customWidth="1"/>
    <col min="10779" max="10779" width="9.28515625" style="1" customWidth="1"/>
    <col min="10780" max="10780" width="7.140625" style="1" customWidth="1"/>
    <col min="10781" max="10781" width="6.85546875" style="1" customWidth="1"/>
    <col min="10782" max="10782" width="18.7109375" style="1" customWidth="1"/>
    <col min="10783" max="10784" width="5.7109375" style="1" customWidth="1"/>
    <col min="10785" max="10785" width="5.42578125" style="1" customWidth="1"/>
    <col min="10786" max="10787" width="5.7109375" style="1" customWidth="1"/>
    <col min="10788" max="10788" width="6.140625" style="1" customWidth="1"/>
    <col min="10789" max="10800" width="5.7109375" style="1" customWidth="1"/>
    <col min="10801" max="10801" width="8.7109375" style="1" customWidth="1"/>
    <col min="10802" max="10802" width="6.85546875" style="1" customWidth="1"/>
    <col min="10803" max="10803" width="7.140625" style="1" customWidth="1"/>
    <col min="10804" max="10804" width="5.7109375" style="1" customWidth="1"/>
    <col min="10805" max="10805" width="18.5703125" style="1" customWidth="1"/>
    <col min="10806" max="10811" width="5.7109375" style="1" customWidth="1"/>
    <col min="10812" max="10812" width="4.85546875" style="1" customWidth="1"/>
    <col min="10813" max="10814" width="5.7109375" style="1" customWidth="1"/>
    <col min="10815" max="10815" width="4.85546875" style="1" customWidth="1"/>
    <col min="10816" max="10816" width="4.5703125" style="1" customWidth="1"/>
    <col min="10817" max="10817" width="5.7109375" style="1" customWidth="1"/>
    <col min="10818" max="10818" width="4.7109375" style="1" customWidth="1"/>
    <col min="10819" max="10820" width="5.7109375" style="1" customWidth="1"/>
    <col min="10821" max="10821" width="6.5703125" style="1" customWidth="1"/>
    <col min="10822" max="10822" width="7.140625" style="1" customWidth="1"/>
    <col min="10823" max="10835" width="5.7109375" style="1" customWidth="1"/>
    <col min="10836" max="10836" width="6.5703125" style="1" customWidth="1"/>
    <col min="10837" max="10837" width="6.85546875" style="1" customWidth="1"/>
    <col min="10838" max="10838" width="6.140625" style="1" customWidth="1"/>
    <col min="10839" max="10839" width="18.85546875" style="1" customWidth="1"/>
    <col min="10840" max="11010" width="8.42578125" style="1"/>
    <col min="11011" max="11011" width="11" style="1" customWidth="1"/>
    <col min="11012" max="11012" width="17.42578125" style="1" customWidth="1"/>
    <col min="11013" max="11013" width="10.5703125" style="1" customWidth="1"/>
    <col min="11014" max="11014" width="9.5703125" style="1" customWidth="1"/>
    <col min="11015" max="11019" width="8" style="1" customWidth="1"/>
    <col min="11020" max="11020" width="9.5703125" style="1" customWidth="1"/>
    <col min="11021" max="11021" width="8" style="1" customWidth="1"/>
    <col min="11022" max="11022" width="19.42578125" style="1" customWidth="1"/>
    <col min="11023" max="11023" width="6" style="1" customWidth="1"/>
    <col min="11024" max="11024" width="5.42578125" style="1" customWidth="1"/>
    <col min="11025" max="11025" width="6.42578125" style="1" customWidth="1"/>
    <col min="11026" max="11026" width="5.5703125" style="1" customWidth="1"/>
    <col min="11027" max="11027" width="5.140625" style="1" customWidth="1"/>
    <col min="11028" max="11028" width="5.42578125" style="1" customWidth="1"/>
    <col min="11029" max="11030" width="5.140625" style="1" customWidth="1"/>
    <col min="11031" max="11031" width="6" style="1" customWidth="1"/>
    <col min="11032" max="11032" width="5.140625" style="1" customWidth="1"/>
    <col min="11033" max="11033" width="5" style="1" customWidth="1"/>
    <col min="11034" max="11034" width="6.140625" style="1" customWidth="1"/>
    <col min="11035" max="11035" width="9.28515625" style="1" customWidth="1"/>
    <col min="11036" max="11036" width="7.140625" style="1" customWidth="1"/>
    <col min="11037" max="11037" width="6.85546875" style="1" customWidth="1"/>
    <col min="11038" max="11038" width="18.7109375" style="1" customWidth="1"/>
    <col min="11039" max="11040" width="5.7109375" style="1" customWidth="1"/>
    <col min="11041" max="11041" width="5.42578125" style="1" customWidth="1"/>
    <col min="11042" max="11043" width="5.7109375" style="1" customWidth="1"/>
    <col min="11044" max="11044" width="6.140625" style="1" customWidth="1"/>
    <col min="11045" max="11056" width="5.7109375" style="1" customWidth="1"/>
    <col min="11057" max="11057" width="8.7109375" style="1" customWidth="1"/>
    <col min="11058" max="11058" width="6.85546875" style="1" customWidth="1"/>
    <col min="11059" max="11059" width="7.140625" style="1" customWidth="1"/>
    <col min="11060" max="11060" width="5.7109375" style="1" customWidth="1"/>
    <col min="11061" max="11061" width="18.5703125" style="1" customWidth="1"/>
    <col min="11062" max="11067" width="5.7109375" style="1" customWidth="1"/>
    <col min="11068" max="11068" width="4.85546875" style="1" customWidth="1"/>
    <col min="11069" max="11070" width="5.7109375" style="1" customWidth="1"/>
    <col min="11071" max="11071" width="4.85546875" style="1" customWidth="1"/>
    <col min="11072" max="11072" width="4.5703125" style="1" customWidth="1"/>
    <col min="11073" max="11073" width="5.7109375" style="1" customWidth="1"/>
    <col min="11074" max="11074" width="4.7109375" style="1" customWidth="1"/>
    <col min="11075" max="11076" width="5.7109375" style="1" customWidth="1"/>
    <col min="11077" max="11077" width="6.5703125" style="1" customWidth="1"/>
    <col min="11078" max="11078" width="7.140625" style="1" customWidth="1"/>
    <col min="11079" max="11091" width="5.7109375" style="1" customWidth="1"/>
    <col min="11092" max="11092" width="6.5703125" style="1" customWidth="1"/>
    <col min="11093" max="11093" width="6.85546875" style="1" customWidth="1"/>
    <col min="11094" max="11094" width="6.140625" style="1" customWidth="1"/>
    <col min="11095" max="11095" width="18.85546875" style="1" customWidth="1"/>
    <col min="11096" max="11266" width="8.42578125" style="1"/>
    <col min="11267" max="11267" width="11" style="1" customWidth="1"/>
    <col min="11268" max="11268" width="17.42578125" style="1" customWidth="1"/>
    <col min="11269" max="11269" width="10.5703125" style="1" customWidth="1"/>
    <col min="11270" max="11270" width="9.5703125" style="1" customWidth="1"/>
    <col min="11271" max="11275" width="8" style="1" customWidth="1"/>
    <col min="11276" max="11276" width="9.5703125" style="1" customWidth="1"/>
    <col min="11277" max="11277" width="8" style="1" customWidth="1"/>
    <col min="11278" max="11278" width="19.42578125" style="1" customWidth="1"/>
    <col min="11279" max="11279" width="6" style="1" customWidth="1"/>
    <col min="11280" max="11280" width="5.42578125" style="1" customWidth="1"/>
    <col min="11281" max="11281" width="6.42578125" style="1" customWidth="1"/>
    <col min="11282" max="11282" width="5.5703125" style="1" customWidth="1"/>
    <col min="11283" max="11283" width="5.140625" style="1" customWidth="1"/>
    <col min="11284" max="11284" width="5.42578125" style="1" customWidth="1"/>
    <col min="11285" max="11286" width="5.140625" style="1" customWidth="1"/>
    <col min="11287" max="11287" width="6" style="1" customWidth="1"/>
    <col min="11288" max="11288" width="5.140625" style="1" customWidth="1"/>
    <col min="11289" max="11289" width="5" style="1" customWidth="1"/>
    <col min="11290" max="11290" width="6.140625" style="1" customWidth="1"/>
    <col min="11291" max="11291" width="9.28515625" style="1" customWidth="1"/>
    <col min="11292" max="11292" width="7.140625" style="1" customWidth="1"/>
    <col min="11293" max="11293" width="6.85546875" style="1" customWidth="1"/>
    <col min="11294" max="11294" width="18.7109375" style="1" customWidth="1"/>
    <col min="11295" max="11296" width="5.7109375" style="1" customWidth="1"/>
    <col min="11297" max="11297" width="5.42578125" style="1" customWidth="1"/>
    <col min="11298" max="11299" width="5.7109375" style="1" customWidth="1"/>
    <col min="11300" max="11300" width="6.140625" style="1" customWidth="1"/>
    <col min="11301" max="11312" width="5.7109375" style="1" customWidth="1"/>
    <col min="11313" max="11313" width="8.7109375" style="1" customWidth="1"/>
    <col min="11314" max="11314" width="6.85546875" style="1" customWidth="1"/>
    <col min="11315" max="11315" width="7.140625" style="1" customWidth="1"/>
    <col min="11316" max="11316" width="5.7109375" style="1" customWidth="1"/>
    <col min="11317" max="11317" width="18.5703125" style="1" customWidth="1"/>
    <col min="11318" max="11323" width="5.7109375" style="1" customWidth="1"/>
    <col min="11324" max="11324" width="4.85546875" style="1" customWidth="1"/>
    <col min="11325" max="11326" width="5.7109375" style="1" customWidth="1"/>
    <col min="11327" max="11327" width="4.85546875" style="1" customWidth="1"/>
    <col min="11328" max="11328" width="4.5703125" style="1" customWidth="1"/>
    <col min="11329" max="11329" width="5.7109375" style="1" customWidth="1"/>
    <col min="11330" max="11330" width="4.7109375" style="1" customWidth="1"/>
    <col min="11331" max="11332" width="5.7109375" style="1" customWidth="1"/>
    <col min="11333" max="11333" width="6.5703125" style="1" customWidth="1"/>
    <col min="11334" max="11334" width="7.140625" style="1" customWidth="1"/>
    <col min="11335" max="11347" width="5.7109375" style="1" customWidth="1"/>
    <col min="11348" max="11348" width="6.5703125" style="1" customWidth="1"/>
    <col min="11349" max="11349" width="6.85546875" style="1" customWidth="1"/>
    <col min="11350" max="11350" width="6.140625" style="1" customWidth="1"/>
    <col min="11351" max="11351" width="18.85546875" style="1" customWidth="1"/>
    <col min="11352" max="11522" width="8.42578125" style="1"/>
    <col min="11523" max="11523" width="11" style="1" customWidth="1"/>
    <col min="11524" max="11524" width="17.42578125" style="1" customWidth="1"/>
    <col min="11525" max="11525" width="10.5703125" style="1" customWidth="1"/>
    <col min="11526" max="11526" width="9.5703125" style="1" customWidth="1"/>
    <col min="11527" max="11531" width="8" style="1" customWidth="1"/>
    <col min="11532" max="11532" width="9.5703125" style="1" customWidth="1"/>
    <col min="11533" max="11533" width="8" style="1" customWidth="1"/>
    <col min="11534" max="11534" width="19.42578125" style="1" customWidth="1"/>
    <col min="11535" max="11535" width="6" style="1" customWidth="1"/>
    <col min="11536" max="11536" width="5.42578125" style="1" customWidth="1"/>
    <col min="11537" max="11537" width="6.42578125" style="1" customWidth="1"/>
    <col min="11538" max="11538" width="5.5703125" style="1" customWidth="1"/>
    <col min="11539" max="11539" width="5.140625" style="1" customWidth="1"/>
    <col min="11540" max="11540" width="5.42578125" style="1" customWidth="1"/>
    <col min="11541" max="11542" width="5.140625" style="1" customWidth="1"/>
    <col min="11543" max="11543" width="6" style="1" customWidth="1"/>
    <col min="11544" max="11544" width="5.140625" style="1" customWidth="1"/>
    <col min="11545" max="11545" width="5" style="1" customWidth="1"/>
    <col min="11546" max="11546" width="6.140625" style="1" customWidth="1"/>
    <col min="11547" max="11547" width="9.28515625" style="1" customWidth="1"/>
    <col min="11548" max="11548" width="7.140625" style="1" customWidth="1"/>
    <col min="11549" max="11549" width="6.85546875" style="1" customWidth="1"/>
    <col min="11550" max="11550" width="18.7109375" style="1" customWidth="1"/>
    <col min="11551" max="11552" width="5.7109375" style="1" customWidth="1"/>
    <col min="11553" max="11553" width="5.42578125" style="1" customWidth="1"/>
    <col min="11554" max="11555" width="5.7109375" style="1" customWidth="1"/>
    <col min="11556" max="11556" width="6.140625" style="1" customWidth="1"/>
    <col min="11557" max="11568" width="5.7109375" style="1" customWidth="1"/>
    <col min="11569" max="11569" width="8.7109375" style="1" customWidth="1"/>
    <col min="11570" max="11570" width="6.85546875" style="1" customWidth="1"/>
    <col min="11571" max="11571" width="7.140625" style="1" customWidth="1"/>
    <col min="11572" max="11572" width="5.7109375" style="1" customWidth="1"/>
    <col min="11573" max="11573" width="18.5703125" style="1" customWidth="1"/>
    <col min="11574" max="11579" width="5.7109375" style="1" customWidth="1"/>
    <col min="11580" max="11580" width="4.85546875" style="1" customWidth="1"/>
    <col min="11581" max="11582" width="5.7109375" style="1" customWidth="1"/>
    <col min="11583" max="11583" width="4.85546875" style="1" customWidth="1"/>
    <col min="11584" max="11584" width="4.5703125" style="1" customWidth="1"/>
    <col min="11585" max="11585" width="5.7109375" style="1" customWidth="1"/>
    <col min="11586" max="11586" width="4.7109375" style="1" customWidth="1"/>
    <col min="11587" max="11588" width="5.7109375" style="1" customWidth="1"/>
    <col min="11589" max="11589" width="6.5703125" style="1" customWidth="1"/>
    <col min="11590" max="11590" width="7.140625" style="1" customWidth="1"/>
    <col min="11591" max="11603" width="5.7109375" style="1" customWidth="1"/>
    <col min="11604" max="11604" width="6.5703125" style="1" customWidth="1"/>
    <col min="11605" max="11605" width="6.85546875" style="1" customWidth="1"/>
    <col min="11606" max="11606" width="6.140625" style="1" customWidth="1"/>
    <col min="11607" max="11607" width="18.85546875" style="1" customWidth="1"/>
    <col min="11608" max="11778" width="8.42578125" style="1"/>
    <col min="11779" max="11779" width="11" style="1" customWidth="1"/>
    <col min="11780" max="11780" width="17.42578125" style="1" customWidth="1"/>
    <col min="11781" max="11781" width="10.5703125" style="1" customWidth="1"/>
    <col min="11782" max="11782" width="9.5703125" style="1" customWidth="1"/>
    <col min="11783" max="11787" width="8" style="1" customWidth="1"/>
    <col min="11788" max="11788" width="9.5703125" style="1" customWidth="1"/>
    <col min="11789" max="11789" width="8" style="1" customWidth="1"/>
    <col min="11790" max="11790" width="19.42578125" style="1" customWidth="1"/>
    <col min="11791" max="11791" width="6" style="1" customWidth="1"/>
    <col min="11792" max="11792" width="5.42578125" style="1" customWidth="1"/>
    <col min="11793" max="11793" width="6.42578125" style="1" customWidth="1"/>
    <col min="11794" max="11794" width="5.5703125" style="1" customWidth="1"/>
    <col min="11795" max="11795" width="5.140625" style="1" customWidth="1"/>
    <col min="11796" max="11796" width="5.42578125" style="1" customWidth="1"/>
    <col min="11797" max="11798" width="5.140625" style="1" customWidth="1"/>
    <col min="11799" max="11799" width="6" style="1" customWidth="1"/>
    <col min="11800" max="11800" width="5.140625" style="1" customWidth="1"/>
    <col min="11801" max="11801" width="5" style="1" customWidth="1"/>
    <col min="11802" max="11802" width="6.140625" style="1" customWidth="1"/>
    <col min="11803" max="11803" width="9.28515625" style="1" customWidth="1"/>
    <col min="11804" max="11804" width="7.140625" style="1" customWidth="1"/>
    <col min="11805" max="11805" width="6.85546875" style="1" customWidth="1"/>
    <col min="11806" max="11806" width="18.7109375" style="1" customWidth="1"/>
    <col min="11807" max="11808" width="5.7109375" style="1" customWidth="1"/>
    <col min="11809" max="11809" width="5.42578125" style="1" customWidth="1"/>
    <col min="11810" max="11811" width="5.7109375" style="1" customWidth="1"/>
    <col min="11812" max="11812" width="6.140625" style="1" customWidth="1"/>
    <col min="11813" max="11824" width="5.7109375" style="1" customWidth="1"/>
    <col min="11825" max="11825" width="8.7109375" style="1" customWidth="1"/>
    <col min="11826" max="11826" width="6.85546875" style="1" customWidth="1"/>
    <col min="11827" max="11827" width="7.140625" style="1" customWidth="1"/>
    <col min="11828" max="11828" width="5.7109375" style="1" customWidth="1"/>
    <col min="11829" max="11829" width="18.5703125" style="1" customWidth="1"/>
    <col min="11830" max="11835" width="5.7109375" style="1" customWidth="1"/>
    <col min="11836" max="11836" width="4.85546875" style="1" customWidth="1"/>
    <col min="11837" max="11838" width="5.7109375" style="1" customWidth="1"/>
    <col min="11839" max="11839" width="4.85546875" style="1" customWidth="1"/>
    <col min="11840" max="11840" width="4.5703125" style="1" customWidth="1"/>
    <col min="11841" max="11841" width="5.7109375" style="1" customWidth="1"/>
    <col min="11842" max="11842" width="4.7109375" style="1" customWidth="1"/>
    <col min="11843" max="11844" width="5.7109375" style="1" customWidth="1"/>
    <col min="11845" max="11845" width="6.5703125" style="1" customWidth="1"/>
    <col min="11846" max="11846" width="7.140625" style="1" customWidth="1"/>
    <col min="11847" max="11859" width="5.7109375" style="1" customWidth="1"/>
    <col min="11860" max="11860" width="6.5703125" style="1" customWidth="1"/>
    <col min="11861" max="11861" width="6.85546875" style="1" customWidth="1"/>
    <col min="11862" max="11862" width="6.140625" style="1" customWidth="1"/>
    <col min="11863" max="11863" width="18.85546875" style="1" customWidth="1"/>
    <col min="11864" max="12034" width="8.42578125" style="1"/>
    <col min="12035" max="12035" width="11" style="1" customWidth="1"/>
    <col min="12036" max="12036" width="17.42578125" style="1" customWidth="1"/>
    <col min="12037" max="12037" width="10.5703125" style="1" customWidth="1"/>
    <col min="12038" max="12038" width="9.5703125" style="1" customWidth="1"/>
    <col min="12039" max="12043" width="8" style="1" customWidth="1"/>
    <col min="12044" max="12044" width="9.5703125" style="1" customWidth="1"/>
    <col min="12045" max="12045" width="8" style="1" customWidth="1"/>
    <col min="12046" max="12046" width="19.42578125" style="1" customWidth="1"/>
    <col min="12047" max="12047" width="6" style="1" customWidth="1"/>
    <col min="12048" max="12048" width="5.42578125" style="1" customWidth="1"/>
    <col min="12049" max="12049" width="6.42578125" style="1" customWidth="1"/>
    <col min="12050" max="12050" width="5.5703125" style="1" customWidth="1"/>
    <col min="12051" max="12051" width="5.140625" style="1" customWidth="1"/>
    <col min="12052" max="12052" width="5.42578125" style="1" customWidth="1"/>
    <col min="12053" max="12054" width="5.140625" style="1" customWidth="1"/>
    <col min="12055" max="12055" width="6" style="1" customWidth="1"/>
    <col min="12056" max="12056" width="5.140625" style="1" customWidth="1"/>
    <col min="12057" max="12057" width="5" style="1" customWidth="1"/>
    <col min="12058" max="12058" width="6.140625" style="1" customWidth="1"/>
    <col min="12059" max="12059" width="9.28515625" style="1" customWidth="1"/>
    <col min="12060" max="12060" width="7.140625" style="1" customWidth="1"/>
    <col min="12061" max="12061" width="6.85546875" style="1" customWidth="1"/>
    <col min="12062" max="12062" width="18.7109375" style="1" customWidth="1"/>
    <col min="12063" max="12064" width="5.7109375" style="1" customWidth="1"/>
    <col min="12065" max="12065" width="5.42578125" style="1" customWidth="1"/>
    <col min="12066" max="12067" width="5.7109375" style="1" customWidth="1"/>
    <col min="12068" max="12068" width="6.140625" style="1" customWidth="1"/>
    <col min="12069" max="12080" width="5.7109375" style="1" customWidth="1"/>
    <col min="12081" max="12081" width="8.7109375" style="1" customWidth="1"/>
    <col min="12082" max="12082" width="6.85546875" style="1" customWidth="1"/>
    <col min="12083" max="12083" width="7.140625" style="1" customWidth="1"/>
    <col min="12084" max="12084" width="5.7109375" style="1" customWidth="1"/>
    <col min="12085" max="12085" width="18.5703125" style="1" customWidth="1"/>
    <col min="12086" max="12091" width="5.7109375" style="1" customWidth="1"/>
    <col min="12092" max="12092" width="4.85546875" style="1" customWidth="1"/>
    <col min="12093" max="12094" width="5.7109375" style="1" customWidth="1"/>
    <col min="12095" max="12095" width="4.85546875" style="1" customWidth="1"/>
    <col min="12096" max="12096" width="4.5703125" style="1" customWidth="1"/>
    <col min="12097" max="12097" width="5.7109375" style="1" customWidth="1"/>
    <col min="12098" max="12098" width="4.7109375" style="1" customWidth="1"/>
    <col min="12099" max="12100" width="5.7109375" style="1" customWidth="1"/>
    <col min="12101" max="12101" width="6.5703125" style="1" customWidth="1"/>
    <col min="12102" max="12102" width="7.140625" style="1" customWidth="1"/>
    <col min="12103" max="12115" width="5.7109375" style="1" customWidth="1"/>
    <col min="12116" max="12116" width="6.5703125" style="1" customWidth="1"/>
    <col min="12117" max="12117" width="6.85546875" style="1" customWidth="1"/>
    <col min="12118" max="12118" width="6.140625" style="1" customWidth="1"/>
    <col min="12119" max="12119" width="18.85546875" style="1" customWidth="1"/>
    <col min="12120" max="12290" width="8.42578125" style="1"/>
    <col min="12291" max="12291" width="11" style="1" customWidth="1"/>
    <col min="12292" max="12292" width="17.42578125" style="1" customWidth="1"/>
    <col min="12293" max="12293" width="10.5703125" style="1" customWidth="1"/>
    <col min="12294" max="12294" width="9.5703125" style="1" customWidth="1"/>
    <col min="12295" max="12299" width="8" style="1" customWidth="1"/>
    <col min="12300" max="12300" width="9.5703125" style="1" customWidth="1"/>
    <col min="12301" max="12301" width="8" style="1" customWidth="1"/>
    <col min="12302" max="12302" width="19.42578125" style="1" customWidth="1"/>
    <col min="12303" max="12303" width="6" style="1" customWidth="1"/>
    <col min="12304" max="12304" width="5.42578125" style="1" customWidth="1"/>
    <col min="12305" max="12305" width="6.42578125" style="1" customWidth="1"/>
    <col min="12306" max="12306" width="5.5703125" style="1" customWidth="1"/>
    <col min="12307" max="12307" width="5.140625" style="1" customWidth="1"/>
    <col min="12308" max="12308" width="5.42578125" style="1" customWidth="1"/>
    <col min="12309" max="12310" width="5.140625" style="1" customWidth="1"/>
    <col min="12311" max="12311" width="6" style="1" customWidth="1"/>
    <col min="12312" max="12312" width="5.140625" style="1" customWidth="1"/>
    <col min="12313" max="12313" width="5" style="1" customWidth="1"/>
    <col min="12314" max="12314" width="6.140625" style="1" customWidth="1"/>
    <col min="12315" max="12315" width="9.28515625" style="1" customWidth="1"/>
    <col min="12316" max="12316" width="7.140625" style="1" customWidth="1"/>
    <col min="12317" max="12317" width="6.85546875" style="1" customWidth="1"/>
    <col min="12318" max="12318" width="18.7109375" style="1" customWidth="1"/>
    <col min="12319" max="12320" width="5.7109375" style="1" customWidth="1"/>
    <col min="12321" max="12321" width="5.42578125" style="1" customWidth="1"/>
    <col min="12322" max="12323" width="5.7109375" style="1" customWidth="1"/>
    <col min="12324" max="12324" width="6.140625" style="1" customWidth="1"/>
    <col min="12325" max="12336" width="5.7109375" style="1" customWidth="1"/>
    <col min="12337" max="12337" width="8.7109375" style="1" customWidth="1"/>
    <col min="12338" max="12338" width="6.85546875" style="1" customWidth="1"/>
    <col min="12339" max="12339" width="7.140625" style="1" customWidth="1"/>
    <col min="12340" max="12340" width="5.7109375" style="1" customWidth="1"/>
    <col min="12341" max="12341" width="18.5703125" style="1" customWidth="1"/>
    <col min="12342" max="12347" width="5.7109375" style="1" customWidth="1"/>
    <col min="12348" max="12348" width="4.85546875" style="1" customWidth="1"/>
    <col min="12349" max="12350" width="5.7109375" style="1" customWidth="1"/>
    <col min="12351" max="12351" width="4.85546875" style="1" customWidth="1"/>
    <col min="12352" max="12352" width="4.5703125" style="1" customWidth="1"/>
    <col min="12353" max="12353" width="5.7109375" style="1" customWidth="1"/>
    <col min="12354" max="12354" width="4.7109375" style="1" customWidth="1"/>
    <col min="12355" max="12356" width="5.7109375" style="1" customWidth="1"/>
    <col min="12357" max="12357" width="6.5703125" style="1" customWidth="1"/>
    <col min="12358" max="12358" width="7.140625" style="1" customWidth="1"/>
    <col min="12359" max="12371" width="5.7109375" style="1" customWidth="1"/>
    <col min="12372" max="12372" width="6.5703125" style="1" customWidth="1"/>
    <col min="12373" max="12373" width="6.85546875" style="1" customWidth="1"/>
    <col min="12374" max="12374" width="6.140625" style="1" customWidth="1"/>
    <col min="12375" max="12375" width="18.85546875" style="1" customWidth="1"/>
    <col min="12376" max="12546" width="8.42578125" style="1"/>
    <col min="12547" max="12547" width="11" style="1" customWidth="1"/>
    <col min="12548" max="12548" width="17.42578125" style="1" customWidth="1"/>
    <col min="12549" max="12549" width="10.5703125" style="1" customWidth="1"/>
    <col min="12550" max="12550" width="9.5703125" style="1" customWidth="1"/>
    <col min="12551" max="12555" width="8" style="1" customWidth="1"/>
    <col min="12556" max="12556" width="9.5703125" style="1" customWidth="1"/>
    <col min="12557" max="12557" width="8" style="1" customWidth="1"/>
    <col min="12558" max="12558" width="19.42578125" style="1" customWidth="1"/>
    <col min="12559" max="12559" width="6" style="1" customWidth="1"/>
    <col min="12560" max="12560" width="5.42578125" style="1" customWidth="1"/>
    <col min="12561" max="12561" width="6.42578125" style="1" customWidth="1"/>
    <col min="12562" max="12562" width="5.5703125" style="1" customWidth="1"/>
    <col min="12563" max="12563" width="5.140625" style="1" customWidth="1"/>
    <col min="12564" max="12564" width="5.42578125" style="1" customWidth="1"/>
    <col min="12565" max="12566" width="5.140625" style="1" customWidth="1"/>
    <col min="12567" max="12567" width="6" style="1" customWidth="1"/>
    <col min="12568" max="12568" width="5.140625" style="1" customWidth="1"/>
    <col min="12569" max="12569" width="5" style="1" customWidth="1"/>
    <col min="12570" max="12570" width="6.140625" style="1" customWidth="1"/>
    <col min="12571" max="12571" width="9.28515625" style="1" customWidth="1"/>
    <col min="12572" max="12572" width="7.140625" style="1" customWidth="1"/>
    <col min="12573" max="12573" width="6.85546875" style="1" customWidth="1"/>
    <col min="12574" max="12574" width="18.7109375" style="1" customWidth="1"/>
    <col min="12575" max="12576" width="5.7109375" style="1" customWidth="1"/>
    <col min="12577" max="12577" width="5.42578125" style="1" customWidth="1"/>
    <col min="12578" max="12579" width="5.7109375" style="1" customWidth="1"/>
    <col min="12580" max="12580" width="6.140625" style="1" customWidth="1"/>
    <col min="12581" max="12592" width="5.7109375" style="1" customWidth="1"/>
    <col min="12593" max="12593" width="8.7109375" style="1" customWidth="1"/>
    <col min="12594" max="12594" width="6.85546875" style="1" customWidth="1"/>
    <col min="12595" max="12595" width="7.140625" style="1" customWidth="1"/>
    <col min="12596" max="12596" width="5.7109375" style="1" customWidth="1"/>
    <col min="12597" max="12597" width="18.5703125" style="1" customWidth="1"/>
    <col min="12598" max="12603" width="5.7109375" style="1" customWidth="1"/>
    <col min="12604" max="12604" width="4.85546875" style="1" customWidth="1"/>
    <col min="12605" max="12606" width="5.7109375" style="1" customWidth="1"/>
    <col min="12607" max="12607" width="4.85546875" style="1" customWidth="1"/>
    <col min="12608" max="12608" width="4.5703125" style="1" customWidth="1"/>
    <col min="12609" max="12609" width="5.7109375" style="1" customWidth="1"/>
    <col min="12610" max="12610" width="4.7109375" style="1" customWidth="1"/>
    <col min="12611" max="12612" width="5.7109375" style="1" customWidth="1"/>
    <col min="12613" max="12613" width="6.5703125" style="1" customWidth="1"/>
    <col min="12614" max="12614" width="7.140625" style="1" customWidth="1"/>
    <col min="12615" max="12627" width="5.7109375" style="1" customWidth="1"/>
    <col min="12628" max="12628" width="6.5703125" style="1" customWidth="1"/>
    <col min="12629" max="12629" width="6.85546875" style="1" customWidth="1"/>
    <col min="12630" max="12630" width="6.140625" style="1" customWidth="1"/>
    <col min="12631" max="12631" width="18.85546875" style="1" customWidth="1"/>
    <col min="12632" max="12802" width="8.42578125" style="1"/>
    <col min="12803" max="12803" width="11" style="1" customWidth="1"/>
    <col min="12804" max="12804" width="17.42578125" style="1" customWidth="1"/>
    <col min="12805" max="12805" width="10.5703125" style="1" customWidth="1"/>
    <col min="12806" max="12806" width="9.5703125" style="1" customWidth="1"/>
    <col min="12807" max="12811" width="8" style="1" customWidth="1"/>
    <col min="12812" max="12812" width="9.5703125" style="1" customWidth="1"/>
    <col min="12813" max="12813" width="8" style="1" customWidth="1"/>
    <col min="12814" max="12814" width="19.42578125" style="1" customWidth="1"/>
    <col min="12815" max="12815" width="6" style="1" customWidth="1"/>
    <col min="12816" max="12816" width="5.42578125" style="1" customWidth="1"/>
    <col min="12817" max="12817" width="6.42578125" style="1" customWidth="1"/>
    <col min="12818" max="12818" width="5.5703125" style="1" customWidth="1"/>
    <col min="12819" max="12819" width="5.140625" style="1" customWidth="1"/>
    <col min="12820" max="12820" width="5.42578125" style="1" customWidth="1"/>
    <col min="12821" max="12822" width="5.140625" style="1" customWidth="1"/>
    <col min="12823" max="12823" width="6" style="1" customWidth="1"/>
    <col min="12824" max="12824" width="5.140625" style="1" customWidth="1"/>
    <col min="12825" max="12825" width="5" style="1" customWidth="1"/>
    <col min="12826" max="12826" width="6.140625" style="1" customWidth="1"/>
    <col min="12827" max="12827" width="9.28515625" style="1" customWidth="1"/>
    <col min="12828" max="12828" width="7.140625" style="1" customWidth="1"/>
    <col min="12829" max="12829" width="6.85546875" style="1" customWidth="1"/>
    <col min="12830" max="12830" width="18.7109375" style="1" customWidth="1"/>
    <col min="12831" max="12832" width="5.7109375" style="1" customWidth="1"/>
    <col min="12833" max="12833" width="5.42578125" style="1" customWidth="1"/>
    <col min="12834" max="12835" width="5.7109375" style="1" customWidth="1"/>
    <col min="12836" max="12836" width="6.140625" style="1" customWidth="1"/>
    <col min="12837" max="12848" width="5.7109375" style="1" customWidth="1"/>
    <col min="12849" max="12849" width="8.7109375" style="1" customWidth="1"/>
    <col min="12850" max="12850" width="6.85546875" style="1" customWidth="1"/>
    <col min="12851" max="12851" width="7.140625" style="1" customWidth="1"/>
    <col min="12852" max="12852" width="5.7109375" style="1" customWidth="1"/>
    <col min="12853" max="12853" width="18.5703125" style="1" customWidth="1"/>
    <col min="12854" max="12859" width="5.7109375" style="1" customWidth="1"/>
    <col min="12860" max="12860" width="4.85546875" style="1" customWidth="1"/>
    <col min="12861" max="12862" width="5.7109375" style="1" customWidth="1"/>
    <col min="12863" max="12863" width="4.85546875" style="1" customWidth="1"/>
    <col min="12864" max="12864" width="4.5703125" style="1" customWidth="1"/>
    <col min="12865" max="12865" width="5.7109375" style="1" customWidth="1"/>
    <col min="12866" max="12866" width="4.7109375" style="1" customWidth="1"/>
    <col min="12867" max="12868" width="5.7109375" style="1" customWidth="1"/>
    <col min="12869" max="12869" width="6.5703125" style="1" customWidth="1"/>
    <col min="12870" max="12870" width="7.140625" style="1" customWidth="1"/>
    <col min="12871" max="12883" width="5.7109375" style="1" customWidth="1"/>
    <col min="12884" max="12884" width="6.5703125" style="1" customWidth="1"/>
    <col min="12885" max="12885" width="6.85546875" style="1" customWidth="1"/>
    <col min="12886" max="12886" width="6.140625" style="1" customWidth="1"/>
    <col min="12887" max="12887" width="18.85546875" style="1" customWidth="1"/>
    <col min="12888" max="13058" width="8.42578125" style="1"/>
    <col min="13059" max="13059" width="11" style="1" customWidth="1"/>
    <col min="13060" max="13060" width="17.42578125" style="1" customWidth="1"/>
    <col min="13061" max="13061" width="10.5703125" style="1" customWidth="1"/>
    <col min="13062" max="13062" width="9.5703125" style="1" customWidth="1"/>
    <col min="13063" max="13067" width="8" style="1" customWidth="1"/>
    <col min="13068" max="13068" width="9.5703125" style="1" customWidth="1"/>
    <col min="13069" max="13069" width="8" style="1" customWidth="1"/>
    <col min="13070" max="13070" width="19.42578125" style="1" customWidth="1"/>
    <col min="13071" max="13071" width="6" style="1" customWidth="1"/>
    <col min="13072" max="13072" width="5.42578125" style="1" customWidth="1"/>
    <col min="13073" max="13073" width="6.42578125" style="1" customWidth="1"/>
    <col min="13074" max="13074" width="5.5703125" style="1" customWidth="1"/>
    <col min="13075" max="13075" width="5.140625" style="1" customWidth="1"/>
    <col min="13076" max="13076" width="5.42578125" style="1" customWidth="1"/>
    <col min="13077" max="13078" width="5.140625" style="1" customWidth="1"/>
    <col min="13079" max="13079" width="6" style="1" customWidth="1"/>
    <col min="13080" max="13080" width="5.140625" style="1" customWidth="1"/>
    <col min="13081" max="13081" width="5" style="1" customWidth="1"/>
    <col min="13082" max="13082" width="6.140625" style="1" customWidth="1"/>
    <col min="13083" max="13083" width="9.28515625" style="1" customWidth="1"/>
    <col min="13084" max="13084" width="7.140625" style="1" customWidth="1"/>
    <col min="13085" max="13085" width="6.85546875" style="1" customWidth="1"/>
    <col min="13086" max="13086" width="18.7109375" style="1" customWidth="1"/>
    <col min="13087" max="13088" width="5.7109375" style="1" customWidth="1"/>
    <col min="13089" max="13089" width="5.42578125" style="1" customWidth="1"/>
    <col min="13090" max="13091" width="5.7109375" style="1" customWidth="1"/>
    <col min="13092" max="13092" width="6.140625" style="1" customWidth="1"/>
    <col min="13093" max="13104" width="5.7109375" style="1" customWidth="1"/>
    <col min="13105" max="13105" width="8.7109375" style="1" customWidth="1"/>
    <col min="13106" max="13106" width="6.85546875" style="1" customWidth="1"/>
    <col min="13107" max="13107" width="7.140625" style="1" customWidth="1"/>
    <col min="13108" max="13108" width="5.7109375" style="1" customWidth="1"/>
    <col min="13109" max="13109" width="18.5703125" style="1" customWidth="1"/>
    <col min="13110" max="13115" width="5.7109375" style="1" customWidth="1"/>
    <col min="13116" max="13116" width="4.85546875" style="1" customWidth="1"/>
    <col min="13117" max="13118" width="5.7109375" style="1" customWidth="1"/>
    <col min="13119" max="13119" width="4.85546875" style="1" customWidth="1"/>
    <col min="13120" max="13120" width="4.5703125" style="1" customWidth="1"/>
    <col min="13121" max="13121" width="5.7109375" style="1" customWidth="1"/>
    <col min="13122" max="13122" width="4.7109375" style="1" customWidth="1"/>
    <col min="13123" max="13124" width="5.7109375" style="1" customWidth="1"/>
    <col min="13125" max="13125" width="6.5703125" style="1" customWidth="1"/>
    <col min="13126" max="13126" width="7.140625" style="1" customWidth="1"/>
    <col min="13127" max="13139" width="5.7109375" style="1" customWidth="1"/>
    <col min="13140" max="13140" width="6.5703125" style="1" customWidth="1"/>
    <col min="13141" max="13141" width="6.85546875" style="1" customWidth="1"/>
    <col min="13142" max="13142" width="6.140625" style="1" customWidth="1"/>
    <col min="13143" max="13143" width="18.85546875" style="1" customWidth="1"/>
    <col min="13144" max="13314" width="8.42578125" style="1"/>
    <col min="13315" max="13315" width="11" style="1" customWidth="1"/>
    <col min="13316" max="13316" width="17.42578125" style="1" customWidth="1"/>
    <col min="13317" max="13317" width="10.5703125" style="1" customWidth="1"/>
    <col min="13318" max="13318" width="9.5703125" style="1" customWidth="1"/>
    <col min="13319" max="13323" width="8" style="1" customWidth="1"/>
    <col min="13324" max="13324" width="9.5703125" style="1" customWidth="1"/>
    <col min="13325" max="13325" width="8" style="1" customWidth="1"/>
    <col min="13326" max="13326" width="19.42578125" style="1" customWidth="1"/>
    <col min="13327" max="13327" width="6" style="1" customWidth="1"/>
    <col min="13328" max="13328" width="5.42578125" style="1" customWidth="1"/>
    <col min="13329" max="13329" width="6.42578125" style="1" customWidth="1"/>
    <col min="13330" max="13330" width="5.5703125" style="1" customWidth="1"/>
    <col min="13331" max="13331" width="5.140625" style="1" customWidth="1"/>
    <col min="13332" max="13332" width="5.42578125" style="1" customWidth="1"/>
    <col min="13333" max="13334" width="5.140625" style="1" customWidth="1"/>
    <col min="13335" max="13335" width="6" style="1" customWidth="1"/>
    <col min="13336" max="13336" width="5.140625" style="1" customWidth="1"/>
    <col min="13337" max="13337" width="5" style="1" customWidth="1"/>
    <col min="13338" max="13338" width="6.140625" style="1" customWidth="1"/>
    <col min="13339" max="13339" width="9.28515625" style="1" customWidth="1"/>
    <col min="13340" max="13340" width="7.140625" style="1" customWidth="1"/>
    <col min="13341" max="13341" width="6.85546875" style="1" customWidth="1"/>
    <col min="13342" max="13342" width="18.7109375" style="1" customWidth="1"/>
    <col min="13343" max="13344" width="5.7109375" style="1" customWidth="1"/>
    <col min="13345" max="13345" width="5.42578125" style="1" customWidth="1"/>
    <col min="13346" max="13347" width="5.7109375" style="1" customWidth="1"/>
    <col min="13348" max="13348" width="6.140625" style="1" customWidth="1"/>
    <col min="13349" max="13360" width="5.7109375" style="1" customWidth="1"/>
    <col min="13361" max="13361" width="8.7109375" style="1" customWidth="1"/>
    <col min="13362" max="13362" width="6.85546875" style="1" customWidth="1"/>
    <col min="13363" max="13363" width="7.140625" style="1" customWidth="1"/>
    <col min="13364" max="13364" width="5.7109375" style="1" customWidth="1"/>
    <col min="13365" max="13365" width="18.5703125" style="1" customWidth="1"/>
    <col min="13366" max="13371" width="5.7109375" style="1" customWidth="1"/>
    <col min="13372" max="13372" width="4.85546875" style="1" customWidth="1"/>
    <col min="13373" max="13374" width="5.7109375" style="1" customWidth="1"/>
    <col min="13375" max="13375" width="4.85546875" style="1" customWidth="1"/>
    <col min="13376" max="13376" width="4.5703125" style="1" customWidth="1"/>
    <col min="13377" max="13377" width="5.7109375" style="1" customWidth="1"/>
    <col min="13378" max="13378" width="4.7109375" style="1" customWidth="1"/>
    <col min="13379" max="13380" width="5.7109375" style="1" customWidth="1"/>
    <col min="13381" max="13381" width="6.5703125" style="1" customWidth="1"/>
    <col min="13382" max="13382" width="7.140625" style="1" customWidth="1"/>
    <col min="13383" max="13395" width="5.7109375" style="1" customWidth="1"/>
    <col min="13396" max="13396" width="6.5703125" style="1" customWidth="1"/>
    <col min="13397" max="13397" width="6.85546875" style="1" customWidth="1"/>
    <col min="13398" max="13398" width="6.140625" style="1" customWidth="1"/>
    <col min="13399" max="13399" width="18.85546875" style="1" customWidth="1"/>
    <col min="13400" max="13570" width="8.42578125" style="1"/>
    <col min="13571" max="13571" width="11" style="1" customWidth="1"/>
    <col min="13572" max="13572" width="17.42578125" style="1" customWidth="1"/>
    <col min="13573" max="13573" width="10.5703125" style="1" customWidth="1"/>
    <col min="13574" max="13574" width="9.5703125" style="1" customWidth="1"/>
    <col min="13575" max="13579" width="8" style="1" customWidth="1"/>
    <col min="13580" max="13580" width="9.5703125" style="1" customWidth="1"/>
    <col min="13581" max="13581" width="8" style="1" customWidth="1"/>
    <col min="13582" max="13582" width="19.42578125" style="1" customWidth="1"/>
    <col min="13583" max="13583" width="6" style="1" customWidth="1"/>
    <col min="13584" max="13584" width="5.42578125" style="1" customWidth="1"/>
    <col min="13585" max="13585" width="6.42578125" style="1" customWidth="1"/>
    <col min="13586" max="13586" width="5.5703125" style="1" customWidth="1"/>
    <col min="13587" max="13587" width="5.140625" style="1" customWidth="1"/>
    <col min="13588" max="13588" width="5.42578125" style="1" customWidth="1"/>
    <col min="13589" max="13590" width="5.140625" style="1" customWidth="1"/>
    <col min="13591" max="13591" width="6" style="1" customWidth="1"/>
    <col min="13592" max="13592" width="5.140625" style="1" customWidth="1"/>
    <col min="13593" max="13593" width="5" style="1" customWidth="1"/>
    <col min="13594" max="13594" width="6.140625" style="1" customWidth="1"/>
    <col min="13595" max="13595" width="9.28515625" style="1" customWidth="1"/>
    <col min="13596" max="13596" width="7.140625" style="1" customWidth="1"/>
    <col min="13597" max="13597" width="6.85546875" style="1" customWidth="1"/>
    <col min="13598" max="13598" width="18.7109375" style="1" customWidth="1"/>
    <col min="13599" max="13600" width="5.7109375" style="1" customWidth="1"/>
    <col min="13601" max="13601" width="5.42578125" style="1" customWidth="1"/>
    <col min="13602" max="13603" width="5.7109375" style="1" customWidth="1"/>
    <col min="13604" max="13604" width="6.140625" style="1" customWidth="1"/>
    <col min="13605" max="13616" width="5.7109375" style="1" customWidth="1"/>
    <col min="13617" max="13617" width="8.7109375" style="1" customWidth="1"/>
    <col min="13618" max="13618" width="6.85546875" style="1" customWidth="1"/>
    <col min="13619" max="13619" width="7.140625" style="1" customWidth="1"/>
    <col min="13620" max="13620" width="5.7109375" style="1" customWidth="1"/>
    <col min="13621" max="13621" width="18.5703125" style="1" customWidth="1"/>
    <col min="13622" max="13627" width="5.7109375" style="1" customWidth="1"/>
    <col min="13628" max="13628" width="4.85546875" style="1" customWidth="1"/>
    <col min="13629" max="13630" width="5.7109375" style="1" customWidth="1"/>
    <col min="13631" max="13631" width="4.85546875" style="1" customWidth="1"/>
    <col min="13632" max="13632" width="4.5703125" style="1" customWidth="1"/>
    <col min="13633" max="13633" width="5.7109375" style="1" customWidth="1"/>
    <col min="13634" max="13634" width="4.7109375" style="1" customWidth="1"/>
    <col min="13635" max="13636" width="5.7109375" style="1" customWidth="1"/>
    <col min="13637" max="13637" width="6.5703125" style="1" customWidth="1"/>
    <col min="13638" max="13638" width="7.140625" style="1" customWidth="1"/>
    <col min="13639" max="13651" width="5.7109375" style="1" customWidth="1"/>
    <col min="13652" max="13652" width="6.5703125" style="1" customWidth="1"/>
    <col min="13653" max="13653" width="6.85546875" style="1" customWidth="1"/>
    <col min="13654" max="13654" width="6.140625" style="1" customWidth="1"/>
    <col min="13655" max="13655" width="18.85546875" style="1" customWidth="1"/>
    <col min="13656" max="13826" width="8.42578125" style="1"/>
    <col min="13827" max="13827" width="11" style="1" customWidth="1"/>
    <col min="13828" max="13828" width="17.42578125" style="1" customWidth="1"/>
    <col min="13829" max="13829" width="10.5703125" style="1" customWidth="1"/>
    <col min="13830" max="13830" width="9.5703125" style="1" customWidth="1"/>
    <col min="13831" max="13835" width="8" style="1" customWidth="1"/>
    <col min="13836" max="13836" width="9.5703125" style="1" customWidth="1"/>
    <col min="13837" max="13837" width="8" style="1" customWidth="1"/>
    <col min="13838" max="13838" width="19.42578125" style="1" customWidth="1"/>
    <col min="13839" max="13839" width="6" style="1" customWidth="1"/>
    <col min="13840" max="13840" width="5.42578125" style="1" customWidth="1"/>
    <col min="13841" max="13841" width="6.42578125" style="1" customWidth="1"/>
    <col min="13842" max="13842" width="5.5703125" style="1" customWidth="1"/>
    <col min="13843" max="13843" width="5.140625" style="1" customWidth="1"/>
    <col min="13844" max="13844" width="5.42578125" style="1" customWidth="1"/>
    <col min="13845" max="13846" width="5.140625" style="1" customWidth="1"/>
    <col min="13847" max="13847" width="6" style="1" customWidth="1"/>
    <col min="13848" max="13848" width="5.140625" style="1" customWidth="1"/>
    <col min="13849" max="13849" width="5" style="1" customWidth="1"/>
    <col min="13850" max="13850" width="6.140625" style="1" customWidth="1"/>
    <col min="13851" max="13851" width="9.28515625" style="1" customWidth="1"/>
    <col min="13852" max="13852" width="7.140625" style="1" customWidth="1"/>
    <col min="13853" max="13853" width="6.85546875" style="1" customWidth="1"/>
    <col min="13854" max="13854" width="18.7109375" style="1" customWidth="1"/>
    <col min="13855" max="13856" width="5.7109375" style="1" customWidth="1"/>
    <col min="13857" max="13857" width="5.42578125" style="1" customWidth="1"/>
    <col min="13858" max="13859" width="5.7109375" style="1" customWidth="1"/>
    <col min="13860" max="13860" width="6.140625" style="1" customWidth="1"/>
    <col min="13861" max="13872" width="5.7109375" style="1" customWidth="1"/>
    <col min="13873" max="13873" width="8.7109375" style="1" customWidth="1"/>
    <col min="13874" max="13874" width="6.85546875" style="1" customWidth="1"/>
    <col min="13875" max="13875" width="7.140625" style="1" customWidth="1"/>
    <col min="13876" max="13876" width="5.7109375" style="1" customWidth="1"/>
    <col min="13877" max="13877" width="18.5703125" style="1" customWidth="1"/>
    <col min="13878" max="13883" width="5.7109375" style="1" customWidth="1"/>
    <col min="13884" max="13884" width="4.85546875" style="1" customWidth="1"/>
    <col min="13885" max="13886" width="5.7109375" style="1" customWidth="1"/>
    <col min="13887" max="13887" width="4.85546875" style="1" customWidth="1"/>
    <col min="13888" max="13888" width="4.5703125" style="1" customWidth="1"/>
    <col min="13889" max="13889" width="5.7109375" style="1" customWidth="1"/>
    <col min="13890" max="13890" width="4.7109375" style="1" customWidth="1"/>
    <col min="13891" max="13892" width="5.7109375" style="1" customWidth="1"/>
    <col min="13893" max="13893" width="6.5703125" style="1" customWidth="1"/>
    <col min="13894" max="13894" width="7.140625" style="1" customWidth="1"/>
    <col min="13895" max="13907" width="5.7109375" style="1" customWidth="1"/>
    <col min="13908" max="13908" width="6.5703125" style="1" customWidth="1"/>
    <col min="13909" max="13909" width="6.85546875" style="1" customWidth="1"/>
    <col min="13910" max="13910" width="6.140625" style="1" customWidth="1"/>
    <col min="13911" max="13911" width="18.85546875" style="1" customWidth="1"/>
    <col min="13912" max="14082" width="8.42578125" style="1"/>
    <col min="14083" max="14083" width="11" style="1" customWidth="1"/>
    <col min="14084" max="14084" width="17.42578125" style="1" customWidth="1"/>
    <col min="14085" max="14085" width="10.5703125" style="1" customWidth="1"/>
    <col min="14086" max="14086" width="9.5703125" style="1" customWidth="1"/>
    <col min="14087" max="14091" width="8" style="1" customWidth="1"/>
    <col min="14092" max="14092" width="9.5703125" style="1" customWidth="1"/>
    <col min="14093" max="14093" width="8" style="1" customWidth="1"/>
    <col min="14094" max="14094" width="19.42578125" style="1" customWidth="1"/>
    <col min="14095" max="14095" width="6" style="1" customWidth="1"/>
    <col min="14096" max="14096" width="5.42578125" style="1" customWidth="1"/>
    <col min="14097" max="14097" width="6.42578125" style="1" customWidth="1"/>
    <col min="14098" max="14098" width="5.5703125" style="1" customWidth="1"/>
    <col min="14099" max="14099" width="5.140625" style="1" customWidth="1"/>
    <col min="14100" max="14100" width="5.42578125" style="1" customWidth="1"/>
    <col min="14101" max="14102" width="5.140625" style="1" customWidth="1"/>
    <col min="14103" max="14103" width="6" style="1" customWidth="1"/>
    <col min="14104" max="14104" width="5.140625" style="1" customWidth="1"/>
    <col min="14105" max="14105" width="5" style="1" customWidth="1"/>
    <col min="14106" max="14106" width="6.140625" style="1" customWidth="1"/>
    <col min="14107" max="14107" width="9.28515625" style="1" customWidth="1"/>
    <col min="14108" max="14108" width="7.140625" style="1" customWidth="1"/>
    <col min="14109" max="14109" width="6.85546875" style="1" customWidth="1"/>
    <col min="14110" max="14110" width="18.7109375" style="1" customWidth="1"/>
    <col min="14111" max="14112" width="5.7109375" style="1" customWidth="1"/>
    <col min="14113" max="14113" width="5.42578125" style="1" customWidth="1"/>
    <col min="14114" max="14115" width="5.7109375" style="1" customWidth="1"/>
    <col min="14116" max="14116" width="6.140625" style="1" customWidth="1"/>
    <col min="14117" max="14128" width="5.7109375" style="1" customWidth="1"/>
    <col min="14129" max="14129" width="8.7109375" style="1" customWidth="1"/>
    <col min="14130" max="14130" width="6.85546875" style="1" customWidth="1"/>
    <col min="14131" max="14131" width="7.140625" style="1" customWidth="1"/>
    <col min="14132" max="14132" width="5.7109375" style="1" customWidth="1"/>
    <col min="14133" max="14133" width="18.5703125" style="1" customWidth="1"/>
    <col min="14134" max="14139" width="5.7109375" style="1" customWidth="1"/>
    <col min="14140" max="14140" width="4.85546875" style="1" customWidth="1"/>
    <col min="14141" max="14142" width="5.7109375" style="1" customWidth="1"/>
    <col min="14143" max="14143" width="4.85546875" style="1" customWidth="1"/>
    <col min="14144" max="14144" width="4.5703125" style="1" customWidth="1"/>
    <col min="14145" max="14145" width="5.7109375" style="1" customWidth="1"/>
    <col min="14146" max="14146" width="4.7109375" style="1" customWidth="1"/>
    <col min="14147" max="14148" width="5.7109375" style="1" customWidth="1"/>
    <col min="14149" max="14149" width="6.5703125" style="1" customWidth="1"/>
    <col min="14150" max="14150" width="7.140625" style="1" customWidth="1"/>
    <col min="14151" max="14163" width="5.7109375" style="1" customWidth="1"/>
    <col min="14164" max="14164" width="6.5703125" style="1" customWidth="1"/>
    <col min="14165" max="14165" width="6.85546875" style="1" customWidth="1"/>
    <col min="14166" max="14166" width="6.140625" style="1" customWidth="1"/>
    <col min="14167" max="14167" width="18.85546875" style="1" customWidth="1"/>
    <col min="14168" max="14338" width="8.42578125" style="1"/>
    <col min="14339" max="14339" width="11" style="1" customWidth="1"/>
    <col min="14340" max="14340" width="17.42578125" style="1" customWidth="1"/>
    <col min="14341" max="14341" width="10.5703125" style="1" customWidth="1"/>
    <col min="14342" max="14342" width="9.5703125" style="1" customWidth="1"/>
    <col min="14343" max="14347" width="8" style="1" customWidth="1"/>
    <col min="14348" max="14348" width="9.5703125" style="1" customWidth="1"/>
    <col min="14349" max="14349" width="8" style="1" customWidth="1"/>
    <col min="14350" max="14350" width="19.42578125" style="1" customWidth="1"/>
    <col min="14351" max="14351" width="6" style="1" customWidth="1"/>
    <col min="14352" max="14352" width="5.42578125" style="1" customWidth="1"/>
    <col min="14353" max="14353" width="6.42578125" style="1" customWidth="1"/>
    <col min="14354" max="14354" width="5.5703125" style="1" customWidth="1"/>
    <col min="14355" max="14355" width="5.140625" style="1" customWidth="1"/>
    <col min="14356" max="14356" width="5.42578125" style="1" customWidth="1"/>
    <col min="14357" max="14358" width="5.140625" style="1" customWidth="1"/>
    <col min="14359" max="14359" width="6" style="1" customWidth="1"/>
    <col min="14360" max="14360" width="5.140625" style="1" customWidth="1"/>
    <col min="14361" max="14361" width="5" style="1" customWidth="1"/>
    <col min="14362" max="14362" width="6.140625" style="1" customWidth="1"/>
    <col min="14363" max="14363" width="9.28515625" style="1" customWidth="1"/>
    <col min="14364" max="14364" width="7.140625" style="1" customWidth="1"/>
    <col min="14365" max="14365" width="6.85546875" style="1" customWidth="1"/>
    <col min="14366" max="14366" width="18.7109375" style="1" customWidth="1"/>
    <col min="14367" max="14368" width="5.7109375" style="1" customWidth="1"/>
    <col min="14369" max="14369" width="5.42578125" style="1" customWidth="1"/>
    <col min="14370" max="14371" width="5.7109375" style="1" customWidth="1"/>
    <col min="14372" max="14372" width="6.140625" style="1" customWidth="1"/>
    <col min="14373" max="14384" width="5.7109375" style="1" customWidth="1"/>
    <col min="14385" max="14385" width="8.7109375" style="1" customWidth="1"/>
    <col min="14386" max="14386" width="6.85546875" style="1" customWidth="1"/>
    <col min="14387" max="14387" width="7.140625" style="1" customWidth="1"/>
    <col min="14388" max="14388" width="5.7109375" style="1" customWidth="1"/>
    <col min="14389" max="14389" width="18.5703125" style="1" customWidth="1"/>
    <col min="14390" max="14395" width="5.7109375" style="1" customWidth="1"/>
    <col min="14396" max="14396" width="4.85546875" style="1" customWidth="1"/>
    <col min="14397" max="14398" width="5.7109375" style="1" customWidth="1"/>
    <col min="14399" max="14399" width="4.85546875" style="1" customWidth="1"/>
    <col min="14400" max="14400" width="4.5703125" style="1" customWidth="1"/>
    <col min="14401" max="14401" width="5.7109375" style="1" customWidth="1"/>
    <col min="14402" max="14402" width="4.7109375" style="1" customWidth="1"/>
    <col min="14403" max="14404" width="5.7109375" style="1" customWidth="1"/>
    <col min="14405" max="14405" width="6.5703125" style="1" customWidth="1"/>
    <col min="14406" max="14406" width="7.140625" style="1" customWidth="1"/>
    <col min="14407" max="14419" width="5.7109375" style="1" customWidth="1"/>
    <col min="14420" max="14420" width="6.5703125" style="1" customWidth="1"/>
    <col min="14421" max="14421" width="6.85546875" style="1" customWidth="1"/>
    <col min="14422" max="14422" width="6.140625" style="1" customWidth="1"/>
    <col min="14423" max="14423" width="18.85546875" style="1" customWidth="1"/>
    <col min="14424" max="14594" width="8.42578125" style="1"/>
    <col min="14595" max="14595" width="11" style="1" customWidth="1"/>
    <col min="14596" max="14596" width="17.42578125" style="1" customWidth="1"/>
    <col min="14597" max="14597" width="10.5703125" style="1" customWidth="1"/>
    <col min="14598" max="14598" width="9.5703125" style="1" customWidth="1"/>
    <col min="14599" max="14603" width="8" style="1" customWidth="1"/>
    <col min="14604" max="14604" width="9.5703125" style="1" customWidth="1"/>
    <col min="14605" max="14605" width="8" style="1" customWidth="1"/>
    <col min="14606" max="14606" width="19.42578125" style="1" customWidth="1"/>
    <col min="14607" max="14607" width="6" style="1" customWidth="1"/>
    <col min="14608" max="14608" width="5.42578125" style="1" customWidth="1"/>
    <col min="14609" max="14609" width="6.42578125" style="1" customWidth="1"/>
    <col min="14610" max="14610" width="5.5703125" style="1" customWidth="1"/>
    <col min="14611" max="14611" width="5.140625" style="1" customWidth="1"/>
    <col min="14612" max="14612" width="5.42578125" style="1" customWidth="1"/>
    <col min="14613" max="14614" width="5.140625" style="1" customWidth="1"/>
    <col min="14615" max="14615" width="6" style="1" customWidth="1"/>
    <col min="14616" max="14616" width="5.140625" style="1" customWidth="1"/>
    <col min="14617" max="14617" width="5" style="1" customWidth="1"/>
    <col min="14618" max="14618" width="6.140625" style="1" customWidth="1"/>
    <col min="14619" max="14619" width="9.28515625" style="1" customWidth="1"/>
    <col min="14620" max="14620" width="7.140625" style="1" customWidth="1"/>
    <col min="14621" max="14621" width="6.85546875" style="1" customWidth="1"/>
    <col min="14622" max="14622" width="18.7109375" style="1" customWidth="1"/>
    <col min="14623" max="14624" width="5.7109375" style="1" customWidth="1"/>
    <col min="14625" max="14625" width="5.42578125" style="1" customWidth="1"/>
    <col min="14626" max="14627" width="5.7109375" style="1" customWidth="1"/>
    <col min="14628" max="14628" width="6.140625" style="1" customWidth="1"/>
    <col min="14629" max="14640" width="5.7109375" style="1" customWidth="1"/>
    <col min="14641" max="14641" width="8.7109375" style="1" customWidth="1"/>
    <col min="14642" max="14642" width="6.85546875" style="1" customWidth="1"/>
    <col min="14643" max="14643" width="7.140625" style="1" customWidth="1"/>
    <col min="14644" max="14644" width="5.7109375" style="1" customWidth="1"/>
    <col min="14645" max="14645" width="18.5703125" style="1" customWidth="1"/>
    <col min="14646" max="14651" width="5.7109375" style="1" customWidth="1"/>
    <col min="14652" max="14652" width="4.85546875" style="1" customWidth="1"/>
    <col min="14653" max="14654" width="5.7109375" style="1" customWidth="1"/>
    <col min="14655" max="14655" width="4.85546875" style="1" customWidth="1"/>
    <col min="14656" max="14656" width="4.5703125" style="1" customWidth="1"/>
    <col min="14657" max="14657" width="5.7109375" style="1" customWidth="1"/>
    <col min="14658" max="14658" width="4.7109375" style="1" customWidth="1"/>
    <col min="14659" max="14660" width="5.7109375" style="1" customWidth="1"/>
    <col min="14661" max="14661" width="6.5703125" style="1" customWidth="1"/>
    <col min="14662" max="14662" width="7.140625" style="1" customWidth="1"/>
    <col min="14663" max="14675" width="5.7109375" style="1" customWidth="1"/>
    <col min="14676" max="14676" width="6.5703125" style="1" customWidth="1"/>
    <col min="14677" max="14677" width="6.85546875" style="1" customWidth="1"/>
    <col min="14678" max="14678" width="6.140625" style="1" customWidth="1"/>
    <col min="14679" max="14679" width="18.85546875" style="1" customWidth="1"/>
    <col min="14680" max="14850" width="8.42578125" style="1"/>
    <col min="14851" max="14851" width="11" style="1" customWidth="1"/>
    <col min="14852" max="14852" width="17.42578125" style="1" customWidth="1"/>
    <col min="14853" max="14853" width="10.5703125" style="1" customWidth="1"/>
    <col min="14854" max="14854" width="9.5703125" style="1" customWidth="1"/>
    <col min="14855" max="14859" width="8" style="1" customWidth="1"/>
    <col min="14860" max="14860" width="9.5703125" style="1" customWidth="1"/>
    <col min="14861" max="14861" width="8" style="1" customWidth="1"/>
    <col min="14862" max="14862" width="19.42578125" style="1" customWidth="1"/>
    <col min="14863" max="14863" width="6" style="1" customWidth="1"/>
    <col min="14864" max="14864" width="5.42578125" style="1" customWidth="1"/>
    <col min="14865" max="14865" width="6.42578125" style="1" customWidth="1"/>
    <col min="14866" max="14866" width="5.5703125" style="1" customWidth="1"/>
    <col min="14867" max="14867" width="5.140625" style="1" customWidth="1"/>
    <col min="14868" max="14868" width="5.42578125" style="1" customWidth="1"/>
    <col min="14869" max="14870" width="5.140625" style="1" customWidth="1"/>
    <col min="14871" max="14871" width="6" style="1" customWidth="1"/>
    <col min="14872" max="14872" width="5.140625" style="1" customWidth="1"/>
    <col min="14873" max="14873" width="5" style="1" customWidth="1"/>
    <col min="14874" max="14874" width="6.140625" style="1" customWidth="1"/>
    <col min="14875" max="14875" width="9.28515625" style="1" customWidth="1"/>
    <col min="14876" max="14876" width="7.140625" style="1" customWidth="1"/>
    <col min="14877" max="14877" width="6.85546875" style="1" customWidth="1"/>
    <col min="14878" max="14878" width="18.7109375" style="1" customWidth="1"/>
    <col min="14879" max="14880" width="5.7109375" style="1" customWidth="1"/>
    <col min="14881" max="14881" width="5.42578125" style="1" customWidth="1"/>
    <col min="14882" max="14883" width="5.7109375" style="1" customWidth="1"/>
    <col min="14884" max="14884" width="6.140625" style="1" customWidth="1"/>
    <col min="14885" max="14896" width="5.7109375" style="1" customWidth="1"/>
    <col min="14897" max="14897" width="8.7109375" style="1" customWidth="1"/>
    <col min="14898" max="14898" width="6.85546875" style="1" customWidth="1"/>
    <col min="14899" max="14899" width="7.140625" style="1" customWidth="1"/>
    <col min="14900" max="14900" width="5.7109375" style="1" customWidth="1"/>
    <col min="14901" max="14901" width="18.5703125" style="1" customWidth="1"/>
    <col min="14902" max="14907" width="5.7109375" style="1" customWidth="1"/>
    <col min="14908" max="14908" width="4.85546875" style="1" customWidth="1"/>
    <col min="14909" max="14910" width="5.7109375" style="1" customWidth="1"/>
    <col min="14911" max="14911" width="4.85546875" style="1" customWidth="1"/>
    <col min="14912" max="14912" width="4.5703125" style="1" customWidth="1"/>
    <col min="14913" max="14913" width="5.7109375" style="1" customWidth="1"/>
    <col min="14914" max="14914" width="4.7109375" style="1" customWidth="1"/>
    <col min="14915" max="14916" width="5.7109375" style="1" customWidth="1"/>
    <col min="14917" max="14917" width="6.5703125" style="1" customWidth="1"/>
    <col min="14918" max="14918" width="7.140625" style="1" customWidth="1"/>
    <col min="14919" max="14931" width="5.7109375" style="1" customWidth="1"/>
    <col min="14932" max="14932" width="6.5703125" style="1" customWidth="1"/>
    <col min="14933" max="14933" width="6.85546875" style="1" customWidth="1"/>
    <col min="14934" max="14934" width="6.140625" style="1" customWidth="1"/>
    <col min="14935" max="14935" width="18.85546875" style="1" customWidth="1"/>
    <col min="14936" max="15106" width="8.42578125" style="1"/>
    <col min="15107" max="15107" width="11" style="1" customWidth="1"/>
    <col min="15108" max="15108" width="17.42578125" style="1" customWidth="1"/>
    <col min="15109" max="15109" width="10.5703125" style="1" customWidth="1"/>
    <col min="15110" max="15110" width="9.5703125" style="1" customWidth="1"/>
    <col min="15111" max="15115" width="8" style="1" customWidth="1"/>
    <col min="15116" max="15116" width="9.5703125" style="1" customWidth="1"/>
    <col min="15117" max="15117" width="8" style="1" customWidth="1"/>
    <col min="15118" max="15118" width="19.42578125" style="1" customWidth="1"/>
    <col min="15119" max="15119" width="6" style="1" customWidth="1"/>
    <col min="15120" max="15120" width="5.42578125" style="1" customWidth="1"/>
    <col min="15121" max="15121" width="6.42578125" style="1" customWidth="1"/>
    <col min="15122" max="15122" width="5.5703125" style="1" customWidth="1"/>
    <col min="15123" max="15123" width="5.140625" style="1" customWidth="1"/>
    <col min="15124" max="15124" width="5.42578125" style="1" customWidth="1"/>
    <col min="15125" max="15126" width="5.140625" style="1" customWidth="1"/>
    <col min="15127" max="15127" width="6" style="1" customWidth="1"/>
    <col min="15128" max="15128" width="5.140625" style="1" customWidth="1"/>
    <col min="15129" max="15129" width="5" style="1" customWidth="1"/>
    <col min="15130" max="15130" width="6.140625" style="1" customWidth="1"/>
    <col min="15131" max="15131" width="9.28515625" style="1" customWidth="1"/>
    <col min="15132" max="15132" width="7.140625" style="1" customWidth="1"/>
    <col min="15133" max="15133" width="6.85546875" style="1" customWidth="1"/>
    <col min="15134" max="15134" width="18.7109375" style="1" customWidth="1"/>
    <col min="15135" max="15136" width="5.7109375" style="1" customWidth="1"/>
    <col min="15137" max="15137" width="5.42578125" style="1" customWidth="1"/>
    <col min="15138" max="15139" width="5.7109375" style="1" customWidth="1"/>
    <col min="15140" max="15140" width="6.140625" style="1" customWidth="1"/>
    <col min="15141" max="15152" width="5.7109375" style="1" customWidth="1"/>
    <col min="15153" max="15153" width="8.7109375" style="1" customWidth="1"/>
    <col min="15154" max="15154" width="6.85546875" style="1" customWidth="1"/>
    <col min="15155" max="15155" width="7.140625" style="1" customWidth="1"/>
    <col min="15156" max="15156" width="5.7109375" style="1" customWidth="1"/>
    <col min="15157" max="15157" width="18.5703125" style="1" customWidth="1"/>
    <col min="15158" max="15163" width="5.7109375" style="1" customWidth="1"/>
    <col min="15164" max="15164" width="4.85546875" style="1" customWidth="1"/>
    <col min="15165" max="15166" width="5.7109375" style="1" customWidth="1"/>
    <col min="15167" max="15167" width="4.85546875" style="1" customWidth="1"/>
    <col min="15168" max="15168" width="4.5703125" style="1" customWidth="1"/>
    <col min="15169" max="15169" width="5.7109375" style="1" customWidth="1"/>
    <col min="15170" max="15170" width="4.7109375" style="1" customWidth="1"/>
    <col min="15171" max="15172" width="5.7109375" style="1" customWidth="1"/>
    <col min="15173" max="15173" width="6.5703125" style="1" customWidth="1"/>
    <col min="15174" max="15174" width="7.140625" style="1" customWidth="1"/>
    <col min="15175" max="15187" width="5.7109375" style="1" customWidth="1"/>
    <col min="15188" max="15188" width="6.5703125" style="1" customWidth="1"/>
    <col min="15189" max="15189" width="6.85546875" style="1" customWidth="1"/>
    <col min="15190" max="15190" width="6.140625" style="1" customWidth="1"/>
    <col min="15191" max="15191" width="18.85546875" style="1" customWidth="1"/>
    <col min="15192" max="15362" width="8.42578125" style="1"/>
    <col min="15363" max="15363" width="11" style="1" customWidth="1"/>
    <col min="15364" max="15364" width="17.42578125" style="1" customWidth="1"/>
    <col min="15365" max="15365" width="10.5703125" style="1" customWidth="1"/>
    <col min="15366" max="15366" width="9.5703125" style="1" customWidth="1"/>
    <col min="15367" max="15371" width="8" style="1" customWidth="1"/>
    <col min="15372" max="15372" width="9.5703125" style="1" customWidth="1"/>
    <col min="15373" max="15373" width="8" style="1" customWidth="1"/>
    <col min="15374" max="15374" width="19.42578125" style="1" customWidth="1"/>
    <col min="15375" max="15375" width="6" style="1" customWidth="1"/>
    <col min="15376" max="15376" width="5.42578125" style="1" customWidth="1"/>
    <col min="15377" max="15377" width="6.42578125" style="1" customWidth="1"/>
    <col min="15378" max="15378" width="5.5703125" style="1" customWidth="1"/>
    <col min="15379" max="15379" width="5.140625" style="1" customWidth="1"/>
    <col min="15380" max="15380" width="5.42578125" style="1" customWidth="1"/>
    <col min="15381" max="15382" width="5.140625" style="1" customWidth="1"/>
    <col min="15383" max="15383" width="6" style="1" customWidth="1"/>
    <col min="15384" max="15384" width="5.140625" style="1" customWidth="1"/>
    <col min="15385" max="15385" width="5" style="1" customWidth="1"/>
    <col min="15386" max="15386" width="6.140625" style="1" customWidth="1"/>
    <col min="15387" max="15387" width="9.28515625" style="1" customWidth="1"/>
    <col min="15388" max="15388" width="7.140625" style="1" customWidth="1"/>
    <col min="15389" max="15389" width="6.85546875" style="1" customWidth="1"/>
    <col min="15390" max="15390" width="18.7109375" style="1" customWidth="1"/>
    <col min="15391" max="15392" width="5.7109375" style="1" customWidth="1"/>
    <col min="15393" max="15393" width="5.42578125" style="1" customWidth="1"/>
    <col min="15394" max="15395" width="5.7109375" style="1" customWidth="1"/>
    <col min="15396" max="15396" width="6.140625" style="1" customWidth="1"/>
    <col min="15397" max="15408" width="5.7109375" style="1" customWidth="1"/>
    <col min="15409" max="15409" width="8.7109375" style="1" customWidth="1"/>
    <col min="15410" max="15410" width="6.85546875" style="1" customWidth="1"/>
    <col min="15411" max="15411" width="7.140625" style="1" customWidth="1"/>
    <col min="15412" max="15412" width="5.7109375" style="1" customWidth="1"/>
    <col min="15413" max="15413" width="18.5703125" style="1" customWidth="1"/>
    <col min="15414" max="15419" width="5.7109375" style="1" customWidth="1"/>
    <col min="15420" max="15420" width="4.85546875" style="1" customWidth="1"/>
    <col min="15421" max="15422" width="5.7109375" style="1" customWidth="1"/>
    <col min="15423" max="15423" width="4.85546875" style="1" customWidth="1"/>
    <col min="15424" max="15424" width="4.5703125" style="1" customWidth="1"/>
    <col min="15425" max="15425" width="5.7109375" style="1" customWidth="1"/>
    <col min="15426" max="15426" width="4.7109375" style="1" customWidth="1"/>
    <col min="15427" max="15428" width="5.7109375" style="1" customWidth="1"/>
    <col min="15429" max="15429" width="6.5703125" style="1" customWidth="1"/>
    <col min="15430" max="15430" width="7.140625" style="1" customWidth="1"/>
    <col min="15431" max="15443" width="5.7109375" style="1" customWidth="1"/>
    <col min="15444" max="15444" width="6.5703125" style="1" customWidth="1"/>
    <col min="15445" max="15445" width="6.85546875" style="1" customWidth="1"/>
    <col min="15446" max="15446" width="6.140625" style="1" customWidth="1"/>
    <col min="15447" max="15447" width="18.85546875" style="1" customWidth="1"/>
    <col min="15448" max="15618" width="8.42578125" style="1"/>
    <col min="15619" max="15619" width="11" style="1" customWidth="1"/>
    <col min="15620" max="15620" width="17.42578125" style="1" customWidth="1"/>
    <col min="15621" max="15621" width="10.5703125" style="1" customWidth="1"/>
    <col min="15622" max="15622" width="9.5703125" style="1" customWidth="1"/>
    <col min="15623" max="15627" width="8" style="1" customWidth="1"/>
    <col min="15628" max="15628" width="9.5703125" style="1" customWidth="1"/>
    <col min="15629" max="15629" width="8" style="1" customWidth="1"/>
    <col min="15630" max="15630" width="19.42578125" style="1" customWidth="1"/>
    <col min="15631" max="15631" width="6" style="1" customWidth="1"/>
    <col min="15632" max="15632" width="5.42578125" style="1" customWidth="1"/>
    <col min="15633" max="15633" width="6.42578125" style="1" customWidth="1"/>
    <col min="15634" max="15634" width="5.5703125" style="1" customWidth="1"/>
    <col min="15635" max="15635" width="5.140625" style="1" customWidth="1"/>
    <col min="15636" max="15636" width="5.42578125" style="1" customWidth="1"/>
    <col min="15637" max="15638" width="5.140625" style="1" customWidth="1"/>
    <col min="15639" max="15639" width="6" style="1" customWidth="1"/>
    <col min="15640" max="15640" width="5.140625" style="1" customWidth="1"/>
    <col min="15641" max="15641" width="5" style="1" customWidth="1"/>
    <col min="15642" max="15642" width="6.140625" style="1" customWidth="1"/>
    <col min="15643" max="15643" width="9.28515625" style="1" customWidth="1"/>
    <col min="15644" max="15644" width="7.140625" style="1" customWidth="1"/>
    <col min="15645" max="15645" width="6.85546875" style="1" customWidth="1"/>
    <col min="15646" max="15646" width="18.7109375" style="1" customWidth="1"/>
    <col min="15647" max="15648" width="5.7109375" style="1" customWidth="1"/>
    <col min="15649" max="15649" width="5.42578125" style="1" customWidth="1"/>
    <col min="15650" max="15651" width="5.7109375" style="1" customWidth="1"/>
    <col min="15652" max="15652" width="6.140625" style="1" customWidth="1"/>
    <col min="15653" max="15664" width="5.7109375" style="1" customWidth="1"/>
    <col min="15665" max="15665" width="8.7109375" style="1" customWidth="1"/>
    <col min="15666" max="15666" width="6.85546875" style="1" customWidth="1"/>
    <col min="15667" max="15667" width="7.140625" style="1" customWidth="1"/>
    <col min="15668" max="15668" width="5.7109375" style="1" customWidth="1"/>
    <col min="15669" max="15669" width="18.5703125" style="1" customWidth="1"/>
    <col min="15670" max="15675" width="5.7109375" style="1" customWidth="1"/>
    <col min="15676" max="15676" width="4.85546875" style="1" customWidth="1"/>
    <col min="15677" max="15678" width="5.7109375" style="1" customWidth="1"/>
    <col min="15679" max="15679" width="4.85546875" style="1" customWidth="1"/>
    <col min="15680" max="15680" width="4.5703125" style="1" customWidth="1"/>
    <col min="15681" max="15681" width="5.7109375" style="1" customWidth="1"/>
    <col min="15682" max="15682" width="4.7109375" style="1" customWidth="1"/>
    <col min="15683" max="15684" width="5.7109375" style="1" customWidth="1"/>
    <col min="15685" max="15685" width="6.5703125" style="1" customWidth="1"/>
    <col min="15686" max="15686" width="7.140625" style="1" customWidth="1"/>
    <col min="15687" max="15699" width="5.7109375" style="1" customWidth="1"/>
    <col min="15700" max="15700" width="6.5703125" style="1" customWidth="1"/>
    <col min="15701" max="15701" width="6.85546875" style="1" customWidth="1"/>
    <col min="15702" max="15702" width="6.140625" style="1" customWidth="1"/>
    <col min="15703" max="15703" width="18.85546875" style="1" customWidth="1"/>
    <col min="15704" max="15874" width="8.42578125" style="1"/>
    <col min="15875" max="15875" width="11" style="1" customWidth="1"/>
    <col min="15876" max="15876" width="17.42578125" style="1" customWidth="1"/>
    <col min="15877" max="15877" width="10.5703125" style="1" customWidth="1"/>
    <col min="15878" max="15878" width="9.5703125" style="1" customWidth="1"/>
    <col min="15879" max="15883" width="8" style="1" customWidth="1"/>
    <col min="15884" max="15884" width="9.5703125" style="1" customWidth="1"/>
    <col min="15885" max="15885" width="8" style="1" customWidth="1"/>
    <col min="15886" max="15886" width="19.42578125" style="1" customWidth="1"/>
    <col min="15887" max="15887" width="6" style="1" customWidth="1"/>
    <col min="15888" max="15888" width="5.42578125" style="1" customWidth="1"/>
    <col min="15889" max="15889" width="6.42578125" style="1" customWidth="1"/>
    <col min="15890" max="15890" width="5.5703125" style="1" customWidth="1"/>
    <col min="15891" max="15891" width="5.140625" style="1" customWidth="1"/>
    <col min="15892" max="15892" width="5.42578125" style="1" customWidth="1"/>
    <col min="15893" max="15894" width="5.140625" style="1" customWidth="1"/>
    <col min="15895" max="15895" width="6" style="1" customWidth="1"/>
    <col min="15896" max="15896" width="5.140625" style="1" customWidth="1"/>
    <col min="15897" max="15897" width="5" style="1" customWidth="1"/>
    <col min="15898" max="15898" width="6.140625" style="1" customWidth="1"/>
    <col min="15899" max="15899" width="9.28515625" style="1" customWidth="1"/>
    <col min="15900" max="15900" width="7.140625" style="1" customWidth="1"/>
    <col min="15901" max="15901" width="6.85546875" style="1" customWidth="1"/>
    <col min="15902" max="15902" width="18.7109375" style="1" customWidth="1"/>
    <col min="15903" max="15904" width="5.7109375" style="1" customWidth="1"/>
    <col min="15905" max="15905" width="5.42578125" style="1" customWidth="1"/>
    <col min="15906" max="15907" width="5.7109375" style="1" customWidth="1"/>
    <col min="15908" max="15908" width="6.140625" style="1" customWidth="1"/>
    <col min="15909" max="15920" width="5.7109375" style="1" customWidth="1"/>
    <col min="15921" max="15921" width="8.7109375" style="1" customWidth="1"/>
    <col min="15922" max="15922" width="6.85546875" style="1" customWidth="1"/>
    <col min="15923" max="15923" width="7.140625" style="1" customWidth="1"/>
    <col min="15924" max="15924" width="5.7109375" style="1" customWidth="1"/>
    <col min="15925" max="15925" width="18.5703125" style="1" customWidth="1"/>
    <col min="15926" max="15931" width="5.7109375" style="1" customWidth="1"/>
    <col min="15932" max="15932" width="4.85546875" style="1" customWidth="1"/>
    <col min="15933" max="15934" width="5.7109375" style="1" customWidth="1"/>
    <col min="15935" max="15935" width="4.85546875" style="1" customWidth="1"/>
    <col min="15936" max="15936" width="4.5703125" style="1" customWidth="1"/>
    <col min="15937" max="15937" width="5.7109375" style="1" customWidth="1"/>
    <col min="15938" max="15938" width="4.7109375" style="1" customWidth="1"/>
    <col min="15939" max="15940" width="5.7109375" style="1" customWidth="1"/>
    <col min="15941" max="15941" width="6.5703125" style="1" customWidth="1"/>
    <col min="15942" max="15942" width="7.140625" style="1" customWidth="1"/>
    <col min="15943" max="15955" width="5.7109375" style="1" customWidth="1"/>
    <col min="15956" max="15956" width="6.5703125" style="1" customWidth="1"/>
    <col min="15957" max="15957" width="6.85546875" style="1" customWidth="1"/>
    <col min="15958" max="15958" width="6.140625" style="1" customWidth="1"/>
    <col min="15959" max="15959" width="18.85546875" style="1" customWidth="1"/>
    <col min="15960" max="16130" width="8.42578125" style="1"/>
    <col min="16131" max="16131" width="11" style="1" customWidth="1"/>
    <col min="16132" max="16132" width="17.42578125" style="1" customWidth="1"/>
    <col min="16133" max="16133" width="10.5703125" style="1" customWidth="1"/>
    <col min="16134" max="16134" width="9.5703125" style="1" customWidth="1"/>
    <col min="16135" max="16139" width="8" style="1" customWidth="1"/>
    <col min="16140" max="16140" width="9.5703125" style="1" customWidth="1"/>
    <col min="16141" max="16141" width="8" style="1" customWidth="1"/>
    <col min="16142" max="16142" width="19.42578125" style="1" customWidth="1"/>
    <col min="16143" max="16143" width="6" style="1" customWidth="1"/>
    <col min="16144" max="16144" width="5.42578125" style="1" customWidth="1"/>
    <col min="16145" max="16145" width="6.42578125" style="1" customWidth="1"/>
    <col min="16146" max="16146" width="5.5703125" style="1" customWidth="1"/>
    <col min="16147" max="16147" width="5.140625" style="1" customWidth="1"/>
    <col min="16148" max="16148" width="5.42578125" style="1" customWidth="1"/>
    <col min="16149" max="16150" width="5.140625" style="1" customWidth="1"/>
    <col min="16151" max="16151" width="6" style="1" customWidth="1"/>
    <col min="16152" max="16152" width="5.140625" style="1" customWidth="1"/>
    <col min="16153" max="16153" width="5" style="1" customWidth="1"/>
    <col min="16154" max="16154" width="6.140625" style="1" customWidth="1"/>
    <col min="16155" max="16155" width="9.28515625" style="1" customWidth="1"/>
    <col min="16156" max="16156" width="7.140625" style="1" customWidth="1"/>
    <col min="16157" max="16157" width="6.85546875" style="1" customWidth="1"/>
    <col min="16158" max="16158" width="18.7109375" style="1" customWidth="1"/>
    <col min="16159" max="16160" width="5.7109375" style="1" customWidth="1"/>
    <col min="16161" max="16161" width="5.42578125" style="1" customWidth="1"/>
    <col min="16162" max="16163" width="5.7109375" style="1" customWidth="1"/>
    <col min="16164" max="16164" width="6.140625" style="1" customWidth="1"/>
    <col min="16165" max="16176" width="5.7109375" style="1" customWidth="1"/>
    <col min="16177" max="16177" width="8.7109375" style="1" customWidth="1"/>
    <col min="16178" max="16178" width="6.85546875" style="1" customWidth="1"/>
    <col min="16179" max="16179" width="7.140625" style="1" customWidth="1"/>
    <col min="16180" max="16180" width="5.7109375" style="1" customWidth="1"/>
    <col min="16181" max="16181" width="18.5703125" style="1" customWidth="1"/>
    <col min="16182" max="16187" width="5.7109375" style="1" customWidth="1"/>
    <col min="16188" max="16188" width="4.85546875" style="1" customWidth="1"/>
    <col min="16189" max="16190" width="5.7109375" style="1" customWidth="1"/>
    <col min="16191" max="16191" width="4.85546875" style="1" customWidth="1"/>
    <col min="16192" max="16192" width="4.5703125" style="1" customWidth="1"/>
    <col min="16193" max="16193" width="5.7109375" style="1" customWidth="1"/>
    <col min="16194" max="16194" width="4.7109375" style="1" customWidth="1"/>
    <col min="16195" max="16196" width="5.7109375" style="1" customWidth="1"/>
    <col min="16197" max="16197" width="6.5703125" style="1" customWidth="1"/>
    <col min="16198" max="16198" width="7.140625" style="1" customWidth="1"/>
    <col min="16199" max="16211" width="5.7109375" style="1" customWidth="1"/>
    <col min="16212" max="16212" width="6.5703125" style="1" customWidth="1"/>
    <col min="16213" max="16213" width="6.85546875" style="1" customWidth="1"/>
    <col min="16214" max="16214" width="6.140625" style="1" customWidth="1"/>
    <col min="16215" max="16215" width="18.85546875" style="1" customWidth="1"/>
    <col min="16216" max="16384" width="8.42578125" style="1"/>
  </cols>
  <sheetData>
    <row r="1" spans="1:87">
      <c r="B1" s="370" t="s">
        <v>97</v>
      </c>
      <c r="C1" s="370"/>
      <c r="D1" s="370"/>
      <c r="E1" s="370"/>
      <c r="F1" s="370"/>
      <c r="G1" s="370"/>
      <c r="H1" s="370"/>
      <c r="I1" s="370"/>
      <c r="J1" s="370"/>
      <c r="K1" s="370"/>
      <c r="L1" s="370" t="s">
        <v>98</v>
      </c>
      <c r="M1" s="370"/>
      <c r="N1" s="370"/>
      <c r="O1" s="370"/>
      <c r="P1" s="370"/>
      <c r="Q1" s="370"/>
      <c r="R1" s="370"/>
      <c r="S1" s="370"/>
      <c r="T1" s="370"/>
      <c r="U1" s="370"/>
      <c r="V1" s="370"/>
      <c r="W1" s="370"/>
      <c r="X1" s="370"/>
      <c r="Y1" s="370"/>
      <c r="Z1" s="370"/>
      <c r="AA1" s="370"/>
      <c r="AB1" s="370" t="s">
        <v>374</v>
      </c>
      <c r="AC1" s="370"/>
      <c r="AD1" s="370"/>
      <c r="AE1" s="370"/>
      <c r="AF1" s="370"/>
      <c r="AG1" s="370"/>
      <c r="AH1" s="370"/>
      <c r="AI1" s="370"/>
      <c r="AJ1" s="370"/>
      <c r="AK1" s="370"/>
      <c r="AL1" s="370"/>
      <c r="AM1" s="370"/>
      <c r="AN1" s="370"/>
      <c r="AO1" s="370"/>
      <c r="AP1" s="370"/>
      <c r="AQ1" s="370"/>
      <c r="AR1" s="94"/>
      <c r="AS1" s="94"/>
      <c r="AT1" s="94"/>
      <c r="AU1" s="94"/>
      <c r="AV1" s="94"/>
      <c r="AW1" s="94"/>
      <c r="AY1" s="231" t="s">
        <v>99</v>
      </c>
      <c r="AZ1" s="372" t="s">
        <v>71</v>
      </c>
      <c r="BA1" s="373"/>
      <c r="BB1" s="373"/>
      <c r="BC1" s="373"/>
      <c r="BD1" s="373"/>
      <c r="BE1" s="374"/>
      <c r="BF1" s="372" t="s">
        <v>70</v>
      </c>
      <c r="BG1" s="373"/>
      <c r="BH1" s="373"/>
      <c r="BI1" s="373"/>
      <c r="BJ1" s="373"/>
      <c r="BK1" s="373"/>
      <c r="BL1" s="373"/>
      <c r="BM1" s="373"/>
      <c r="BN1" s="373"/>
      <c r="BO1" s="63"/>
      <c r="BP1" s="63"/>
      <c r="BQ1" s="62"/>
      <c r="BR1" s="64"/>
      <c r="BS1" s="362" t="s">
        <v>375</v>
      </c>
      <c r="BT1" s="363"/>
      <c r="BU1" s="363"/>
      <c r="BV1" s="363"/>
      <c r="BW1" s="363"/>
      <c r="BX1" s="363"/>
      <c r="BY1" s="363"/>
      <c r="BZ1" s="363"/>
      <c r="CA1" s="363"/>
      <c r="CB1" s="363"/>
      <c r="CC1" s="363"/>
      <c r="CD1" s="363"/>
      <c r="CE1" s="363"/>
      <c r="CF1" s="363"/>
      <c r="CG1" s="363"/>
      <c r="CH1" s="363"/>
      <c r="CI1" s="371"/>
    </row>
    <row r="2" spans="1:87" ht="12.75" customHeight="1">
      <c r="A2" s="3" t="s">
        <v>68</v>
      </c>
      <c r="B2" s="62" t="s">
        <v>34</v>
      </c>
      <c r="C2" s="107" t="s">
        <v>67</v>
      </c>
      <c r="D2" s="108" t="s">
        <v>66</v>
      </c>
      <c r="E2" s="89" t="s">
        <v>65</v>
      </c>
      <c r="F2" s="89" t="s">
        <v>64</v>
      </c>
      <c r="G2" s="89" t="s">
        <v>63</v>
      </c>
      <c r="H2" s="89" t="s">
        <v>62</v>
      </c>
      <c r="I2" s="89" t="s">
        <v>61</v>
      </c>
      <c r="J2" s="89" t="s">
        <v>60</v>
      </c>
      <c r="K2" s="89" t="s">
        <v>59</v>
      </c>
      <c r="L2" s="62" t="s">
        <v>34</v>
      </c>
      <c r="M2" s="88" t="s">
        <v>58</v>
      </c>
      <c r="N2" s="88"/>
      <c r="O2" s="88"/>
      <c r="P2" s="88" t="s">
        <v>57</v>
      </c>
      <c r="Q2" s="88"/>
      <c r="R2" s="88"/>
      <c r="S2" s="88" t="s">
        <v>100</v>
      </c>
      <c r="T2" s="88"/>
      <c r="U2" s="88"/>
      <c r="V2" s="88" t="s">
        <v>101</v>
      </c>
      <c r="W2" s="88"/>
      <c r="X2" s="88"/>
      <c r="Y2" s="45" t="s">
        <v>35</v>
      </c>
      <c r="Z2" s="45" t="s">
        <v>36</v>
      </c>
      <c r="AA2" s="32"/>
      <c r="AB2" s="32" t="s">
        <v>34</v>
      </c>
      <c r="AC2" s="32" t="s">
        <v>102</v>
      </c>
      <c r="AD2" s="32"/>
      <c r="AE2" s="32"/>
      <c r="AF2" s="32" t="s">
        <v>103</v>
      </c>
      <c r="AG2" s="32"/>
      <c r="AH2" s="32"/>
      <c r="AI2" s="32" t="s">
        <v>104</v>
      </c>
      <c r="AJ2" s="32"/>
      <c r="AK2" s="32"/>
      <c r="AL2" s="32" t="s">
        <v>105</v>
      </c>
      <c r="AM2" s="32"/>
      <c r="AN2" s="32"/>
      <c r="AO2" s="32" t="s">
        <v>106</v>
      </c>
      <c r="AP2" s="32"/>
      <c r="AQ2" s="32"/>
      <c r="AR2" s="32" t="s">
        <v>107</v>
      </c>
      <c r="AS2" s="32"/>
      <c r="AT2" s="32"/>
      <c r="AU2" s="32" t="s">
        <v>35</v>
      </c>
      <c r="AV2" s="32" t="s">
        <v>36</v>
      </c>
      <c r="AW2" s="32" t="s">
        <v>47</v>
      </c>
      <c r="AX2" s="81"/>
      <c r="AY2" s="81" t="s">
        <v>34</v>
      </c>
      <c r="AZ2" s="93" t="s">
        <v>46</v>
      </c>
      <c r="BA2" s="109"/>
      <c r="BB2" s="110"/>
      <c r="BC2" s="93" t="s">
        <v>108</v>
      </c>
      <c r="BD2" s="105"/>
      <c r="BE2" s="106"/>
      <c r="BF2" s="83" t="s">
        <v>109</v>
      </c>
      <c r="BG2" s="82"/>
      <c r="BH2" s="82"/>
      <c r="BI2" s="82" t="s">
        <v>110</v>
      </c>
      <c r="BJ2" s="82"/>
      <c r="BK2" s="82"/>
      <c r="BL2" s="82" t="s">
        <v>111</v>
      </c>
      <c r="BM2" s="88"/>
      <c r="BN2" s="88"/>
      <c r="BO2" s="45" t="s">
        <v>35</v>
      </c>
      <c r="BP2" s="45" t="s">
        <v>36</v>
      </c>
      <c r="BQ2" s="45" t="s">
        <v>41</v>
      </c>
      <c r="BR2" s="45"/>
      <c r="BS2" s="82" t="s">
        <v>40</v>
      </c>
      <c r="BT2" s="82"/>
      <c r="BU2" s="88"/>
      <c r="BV2" s="111" t="s">
        <v>39</v>
      </c>
      <c r="BW2" s="109"/>
      <c r="BX2" s="62"/>
      <c r="BY2" s="112" t="s">
        <v>38</v>
      </c>
      <c r="BZ2" s="105"/>
      <c r="CA2" s="62"/>
      <c r="CB2" s="112" t="s">
        <v>112</v>
      </c>
      <c r="CC2" s="105"/>
      <c r="CD2" s="62"/>
      <c r="CE2" s="45" t="s">
        <v>35</v>
      </c>
      <c r="CF2" s="45" t="s">
        <v>36</v>
      </c>
      <c r="CG2" s="45" t="s">
        <v>35</v>
      </c>
      <c r="CH2" s="45"/>
      <c r="CI2" s="32" t="s">
        <v>34</v>
      </c>
    </row>
    <row r="3" spans="1:87">
      <c r="A3" s="3"/>
      <c r="B3" s="32" t="s">
        <v>113</v>
      </c>
      <c r="C3" s="48">
        <v>35193</v>
      </c>
      <c r="D3" s="113" t="s">
        <v>19</v>
      </c>
      <c r="E3" s="32">
        <v>149</v>
      </c>
      <c r="F3" s="32">
        <v>41</v>
      </c>
      <c r="G3" s="32">
        <v>71</v>
      </c>
      <c r="H3" s="32">
        <v>1.1379999999999999</v>
      </c>
      <c r="I3" s="44">
        <f t="shared" ref="I3:I11" si="0">F3/(E3/100)^2</f>
        <v>18.467636592946263</v>
      </c>
      <c r="J3" s="43" t="s">
        <v>26</v>
      </c>
      <c r="K3" s="32">
        <f t="shared" ref="K3:K11" si="1">((E3-F3)*E3)/(H3*2*G3)</f>
        <v>99.581672813683525</v>
      </c>
      <c r="L3" s="32" t="s">
        <v>113</v>
      </c>
      <c r="M3" s="32">
        <v>179</v>
      </c>
      <c r="N3" s="40">
        <v>19</v>
      </c>
      <c r="O3" s="30">
        <f t="shared" ref="O3:O11" si="2">IF(M3=0,"",IF(M3&lt;160,2,IF(AND(M3&gt;=160,M3&lt;164),3,IF(AND(M3&gt;=164,M3&lt;170),4,IF(AND(M3&gt;=170),5)))))</f>
        <v>5</v>
      </c>
      <c r="P3" s="32">
        <v>4.5999999999999996</v>
      </c>
      <c r="Q3" s="40">
        <v>20</v>
      </c>
      <c r="R3" s="30">
        <f t="shared" ref="R3:R11" si="3">IF(P3=0,"",IF(P3&gt;6,2,IF(AND(P3&lt;=6,P3&gt;5.8),3,IF(AND(P3&lt;=5.8,P3&gt;5.4),4,IF(AND(P3&lt;=5.4),5)))))</f>
        <v>5</v>
      </c>
      <c r="S3" s="32">
        <v>10.1</v>
      </c>
      <c r="T3" s="40">
        <v>20</v>
      </c>
      <c r="U3" s="30">
        <f t="shared" ref="U3:U11" si="4">IF(S3=0,"",IF(S3&gt;11.2,2,IF(AND(S3&lt;=11.2,S3&gt;11),3,IF(AND(S3&lt;=11,S3&gt;10.8),4,IF(AND(S3&lt;=10.8),5)))))</f>
        <v>5</v>
      </c>
      <c r="V3" s="32">
        <v>1525</v>
      </c>
      <c r="W3" s="40">
        <v>20</v>
      </c>
      <c r="X3" s="30">
        <f t="shared" ref="X3:X11" si="5">IF(V3=0,"",IF(V3&lt;1000,2,IF(AND(V3&gt;=1000,V3&lt;1150),3,IF(AND(V3&gt;=1150,V3&lt;1275),4,IF(AND(V3&gt;=1275),5)))))</f>
        <v>5</v>
      </c>
      <c r="Y3" s="40">
        <f t="shared" ref="Y3:Y11" si="6">SUM(N3,Q3,T3,W3)</f>
        <v>79</v>
      </c>
      <c r="Z3" s="30">
        <f t="shared" ref="Z3:Z11" si="7">IF(Y3=0,"",IF(Y3&lt;4,2,IF(AND(Y3&gt;=4,Y3&lt;16),3,IF(AND(Y3&gt;=16,Y3&lt;30),4,IF(AND(Y3&gt;=30),5)))))</f>
        <v>5</v>
      </c>
      <c r="AA3" s="223">
        <v>5</v>
      </c>
      <c r="AB3" s="32" t="s">
        <v>113</v>
      </c>
      <c r="AC3" s="32">
        <v>54</v>
      </c>
      <c r="AD3" s="40">
        <v>20</v>
      </c>
      <c r="AE3" s="30">
        <f t="shared" ref="AE3:AE11" si="8">IF(AC3=0,"",IF(AC3&lt;30,2,IF(AND(AC3&gt;=30,AC3&lt;36),3,IF(AND(AC3&gt;=36,AC3&lt;40),4,IF(AND(AC3&gt;=40),5)))))</f>
        <v>5</v>
      </c>
      <c r="AF3" s="32">
        <v>12</v>
      </c>
      <c r="AG3" s="40">
        <v>20</v>
      </c>
      <c r="AH3" s="30">
        <f t="shared" ref="AH3:AH11" si="9">IF(AF3=0,"",IF(AF3&lt;4,2,IF(AND(AF3&gt;=4,AF3&lt;6),3,IF(AND(AF3&gt;=6,AF3&lt;9),4,IF(AND(AF3&gt;=9),5)))))</f>
        <v>5</v>
      </c>
      <c r="AI3" s="32">
        <v>163</v>
      </c>
      <c r="AJ3" s="40">
        <v>20</v>
      </c>
      <c r="AK3" s="30">
        <f t="shared" ref="AK3:AK11" si="10">IF(AI3=0,"",IF(AI3&lt;70,2,IF(AND(AI3&gt;=70,AI3&lt;80),3,IF(AND(AI3&gt;=80,AI3&lt;90),4,IF(AND(AI3&gt;=90),5)))))</f>
        <v>5</v>
      </c>
      <c r="AL3" s="32">
        <v>9</v>
      </c>
      <c r="AM3" s="40">
        <v>14</v>
      </c>
      <c r="AN3" s="30">
        <f t="shared" ref="AN3:AN11" si="11">IF(AL3=0,"",IF(AL3&lt;4,2,IF(AND(AL3&gt;=4,AL3&lt;5),3,IF(AND(AL3&gt;=5,AL3&lt;7),4,IF(AND(AL3&gt;=7),5)))))</f>
        <v>5</v>
      </c>
      <c r="AO3" s="32">
        <v>16</v>
      </c>
      <c r="AP3" s="40">
        <v>16</v>
      </c>
      <c r="AQ3" s="30">
        <f t="shared" ref="AQ3:AQ11" si="12">IF(AO3=0,"",IF(AO3&lt;1,2,IF(AND(AO3&gt;=1,AO3&lt;5),3,IF(AND(AO3&gt;=5,AO3&lt;10),4,IF(AND(AO3&gt;=10),5)))))</f>
        <v>5</v>
      </c>
      <c r="AR3" s="32">
        <v>10</v>
      </c>
      <c r="AS3" s="40">
        <v>10</v>
      </c>
      <c r="AT3" s="30">
        <f t="shared" ref="AT3:AT11" si="13">IF(AR3=0,"",IF(AR3&lt;1,2,IF(AND(AR3&gt;=1,AR3&lt;5),3,IF(AND(AR3&gt;=5,AR3&lt;10),4,IF(AND(AR3&gt;=10),5)))))</f>
        <v>5</v>
      </c>
      <c r="AU3" s="40">
        <f t="shared" ref="AU3:AU11" si="14">SUM(AD3,AG3,AJ3,AM3,AP3,AS3)</f>
        <v>100</v>
      </c>
      <c r="AV3" s="30">
        <f t="shared" ref="AV3:AV11" si="15">IF(AU3=0,"",IF(AU3&lt;6,2,IF(AND(AU3&gt;=6,AU3&lt;20),3,IF(AND(AU3&gt;=20,AU3&lt;46),4,IF(AND(AU3&gt;=46),5)))))</f>
        <v>5</v>
      </c>
      <c r="AW3" s="40">
        <f t="shared" ref="AW3:AW11" si="16">SUM(Y3,AU3)</f>
        <v>179</v>
      </c>
      <c r="AX3" s="223">
        <v>5</v>
      </c>
      <c r="AY3" s="32" t="s">
        <v>113</v>
      </c>
      <c r="AZ3" s="32">
        <v>8.25</v>
      </c>
      <c r="BA3" s="40">
        <v>5</v>
      </c>
      <c r="BB3" s="30">
        <v>4</v>
      </c>
      <c r="BC3" s="32">
        <v>17.489999999999998</v>
      </c>
      <c r="BD3" s="40">
        <v>5</v>
      </c>
      <c r="BE3" s="30">
        <v>4</v>
      </c>
      <c r="BF3" s="32">
        <v>20</v>
      </c>
      <c r="BG3" s="40">
        <v>20</v>
      </c>
      <c r="BH3" s="30">
        <f t="shared" ref="BH3:BH11" si="17">IF(BF3=0,"",IF(BF3&lt;6,2,IF(AND(BF3&gt;=6,BF3&lt;8),3,IF(AND(BF3&gt;=8,BF3&lt;10),4,IF(AND(BF3&gt;=10),5)))))</f>
        <v>5</v>
      </c>
      <c r="BI3" s="32">
        <v>12.200000000000001</v>
      </c>
      <c r="BJ3" s="40">
        <v>18</v>
      </c>
      <c r="BK3" s="30">
        <f t="shared" ref="BK3:BK11" si="18">IF(BI3=0,"",IF(BI3&gt;15.8,2,IF(AND(BI3&lt;=15.8,BI3&gt;14.6),3,IF(AND(BI3&lt;=14.6,BI3&gt;13.6),4,IF(AND(BI3&lt;=13.6),5)))))</f>
        <v>5</v>
      </c>
      <c r="BL3" s="32">
        <v>10</v>
      </c>
      <c r="BM3" s="40">
        <v>20</v>
      </c>
      <c r="BN3" s="30">
        <f t="shared" ref="BN3:BN11" si="19">IF(BL3=0,"",IF(BL3&lt;2,2,IF(AND(BL3&gt;=2,BL3&lt;4),3,IF(AND(BL3&gt;=4,BL3&lt;5),4,IF(AND(BL3&gt;=5),5)))))</f>
        <v>5</v>
      </c>
      <c r="BO3" s="40">
        <f t="shared" ref="BO3:BO11" si="20">SUM(BA3,BD3,BG3,BJ3,BM3)</f>
        <v>68</v>
      </c>
      <c r="BP3" s="30">
        <f t="shared" ref="BP3:BP11" si="21">IF(BO3=0,"",IF(BO3&lt;5,2,IF(AND(BO3&gt;=5,BO3&lt;17),3,IF(AND(BO3&gt;=17,BO3&lt;40),4,IF(AND(BO3&gt;=40),5)))))</f>
        <v>5</v>
      </c>
      <c r="BQ3" s="40">
        <f t="shared" ref="BQ3:BQ11" si="22">SUM(AW3,BO3)</f>
        <v>247</v>
      </c>
      <c r="BR3" s="41"/>
      <c r="BS3" s="32">
        <v>9.1999999999999993</v>
      </c>
      <c r="BT3" s="40">
        <v>19</v>
      </c>
      <c r="BU3" s="30">
        <f t="shared" ref="BU3:BU11" si="23">IF(BS3=0,"",IF(BS3&gt;11.1,2,IF(AND(BS3&lt;=11.1,BS3&gt;10.4),3,IF(AND(BS3&lt;=10.4,BS3&gt;9.9),4,IF(AND(BS3&lt;=9.9),5)))))</f>
        <v>5</v>
      </c>
      <c r="BV3" s="32">
        <v>7.08</v>
      </c>
      <c r="BW3" s="66">
        <v>12</v>
      </c>
      <c r="BX3" s="30">
        <f t="shared" ref="BX3:BX11" si="24">IF(BV3=0,"",IF(BV3&gt;8.1,2,IF(AND(BV3&lt;=8.1,BV3&gt;7.5),3,IF(AND(BV3&lt;=7.5,BV3&gt;7.3),4,IF(AND(BV3&lt;=7.3),5)))))</f>
        <v>5</v>
      </c>
      <c r="BY3" s="32">
        <v>41</v>
      </c>
      <c r="BZ3" s="40">
        <v>19</v>
      </c>
      <c r="CA3" s="30">
        <f t="shared" ref="CA3:CA11" si="25">IF(BY3=0,"",IF(BY3&lt;21,2,IF(AND(BY3&gt;=21,BY3&lt;29),3,IF(AND(BY3&gt;=29,BY3&lt;36),4,IF(AND(BY3&gt;=36),5)))))</f>
        <v>5</v>
      </c>
      <c r="CB3" s="32">
        <v>18</v>
      </c>
      <c r="CC3" s="40">
        <v>20</v>
      </c>
      <c r="CD3" s="30">
        <f t="shared" ref="CD3:CD11" si="26">IF(CB3=0,"",IF(CB3&lt;2,2,IF(AND(CB3&gt;=2,CB3&lt;5),3,IF(AND(CB3&gt;=5,CB3&lt;10),4,IF(AND(CB3&gt;=10),5)))))</f>
        <v>5</v>
      </c>
      <c r="CE3" s="40">
        <f t="shared" ref="CE3:CE11" si="27">SUM(BT3,BW3,BZ3,CC3)</f>
        <v>70</v>
      </c>
      <c r="CF3" s="30">
        <f t="shared" ref="CF3:CF11" si="28">IF(CE3=0,"",IF(CE3&lt;4,2,IF(AND(CE3&gt;=4,CE3&lt;16),3,IF(AND(CE3&gt;=16,CE3&lt;30),4,IF(AND(CE3&gt;=30),5)))))</f>
        <v>5</v>
      </c>
      <c r="CG3" s="40">
        <f t="shared" ref="CG3:CG11" si="29">SUM(BQ3,CE3)</f>
        <v>317</v>
      </c>
      <c r="CH3" s="238">
        <v>5</v>
      </c>
      <c r="CI3" s="32" t="s">
        <v>113</v>
      </c>
    </row>
    <row r="4" spans="1:87">
      <c r="A4" s="3"/>
      <c r="B4" s="32" t="s">
        <v>114</v>
      </c>
      <c r="C4" s="67">
        <v>35173</v>
      </c>
      <c r="D4" s="113" t="s">
        <v>19</v>
      </c>
      <c r="E4" s="32">
        <v>152</v>
      </c>
      <c r="F4" s="32">
        <v>41</v>
      </c>
      <c r="G4" s="32">
        <v>71</v>
      </c>
      <c r="H4" s="32">
        <v>1.1379999999999999</v>
      </c>
      <c r="I4" s="44">
        <f t="shared" si="0"/>
        <v>17.745844875346261</v>
      </c>
      <c r="J4" s="43" t="s">
        <v>30</v>
      </c>
      <c r="K4" s="32">
        <f t="shared" si="1"/>
        <v>104.40852496348921</v>
      </c>
      <c r="L4" s="32" t="s">
        <v>114</v>
      </c>
      <c r="M4" s="32">
        <v>176</v>
      </c>
      <c r="N4" s="40">
        <v>16</v>
      </c>
      <c r="O4" s="30">
        <f t="shared" si="2"/>
        <v>5</v>
      </c>
      <c r="P4" s="32">
        <v>4.7</v>
      </c>
      <c r="Q4" s="40">
        <v>20</v>
      </c>
      <c r="R4" s="30">
        <f t="shared" si="3"/>
        <v>5</v>
      </c>
      <c r="S4" s="32">
        <v>9.5</v>
      </c>
      <c r="T4" s="40">
        <v>20</v>
      </c>
      <c r="U4" s="30">
        <f t="shared" si="4"/>
        <v>5</v>
      </c>
      <c r="V4" s="32">
        <v>1530</v>
      </c>
      <c r="W4" s="40">
        <v>20</v>
      </c>
      <c r="X4" s="30">
        <f t="shared" si="5"/>
        <v>5</v>
      </c>
      <c r="Y4" s="40">
        <f t="shared" si="6"/>
        <v>76</v>
      </c>
      <c r="Z4" s="30">
        <f t="shared" si="7"/>
        <v>5</v>
      </c>
      <c r="AA4" s="223">
        <v>5</v>
      </c>
      <c r="AB4" s="32" t="s">
        <v>114</v>
      </c>
      <c r="AC4" s="32">
        <v>50</v>
      </c>
      <c r="AD4" s="40">
        <v>20</v>
      </c>
      <c r="AE4" s="30">
        <f t="shared" si="8"/>
        <v>5</v>
      </c>
      <c r="AF4" s="32">
        <v>10</v>
      </c>
      <c r="AG4" s="40">
        <v>15</v>
      </c>
      <c r="AH4" s="30">
        <f t="shared" si="9"/>
        <v>5</v>
      </c>
      <c r="AI4" s="32">
        <v>142</v>
      </c>
      <c r="AJ4" s="40">
        <v>20</v>
      </c>
      <c r="AK4" s="30">
        <f t="shared" si="10"/>
        <v>5</v>
      </c>
      <c r="AL4" s="32">
        <v>9</v>
      </c>
      <c r="AM4" s="40">
        <v>14</v>
      </c>
      <c r="AN4" s="30">
        <f t="shared" si="11"/>
        <v>5</v>
      </c>
      <c r="AO4" s="32">
        <v>20</v>
      </c>
      <c r="AP4" s="40">
        <v>20</v>
      </c>
      <c r="AQ4" s="30">
        <f t="shared" si="12"/>
        <v>5</v>
      </c>
      <c r="AR4" s="32">
        <v>10</v>
      </c>
      <c r="AS4" s="40">
        <v>10</v>
      </c>
      <c r="AT4" s="30">
        <f t="shared" si="13"/>
        <v>5</v>
      </c>
      <c r="AU4" s="40">
        <f t="shared" si="14"/>
        <v>99</v>
      </c>
      <c r="AV4" s="30">
        <f t="shared" si="15"/>
        <v>5</v>
      </c>
      <c r="AW4" s="40">
        <f t="shared" si="16"/>
        <v>175</v>
      </c>
      <c r="AX4" s="223">
        <v>5</v>
      </c>
      <c r="AY4" s="32" t="s">
        <v>114</v>
      </c>
      <c r="AZ4" s="32"/>
      <c r="BA4" s="40"/>
      <c r="BB4" s="30"/>
      <c r="BC4" s="32"/>
      <c r="BD4" s="40"/>
      <c r="BE4" s="30" t="str">
        <f>IF(BC4=0,"",IF(BC4&gt;15,2,IF(AND(BC4&lt;=15,BC4&gt;14.3),3,IF(AND(BC4&lt;=14.3,BC4&gt;14),4,IF(AND(BC4&lt;=14),5)))))</f>
        <v/>
      </c>
      <c r="BF4" s="32">
        <v>20</v>
      </c>
      <c r="BG4" s="40">
        <v>20</v>
      </c>
      <c r="BH4" s="30">
        <f t="shared" si="17"/>
        <v>5</v>
      </c>
      <c r="BI4" s="32">
        <v>12</v>
      </c>
      <c r="BJ4" s="40">
        <v>20</v>
      </c>
      <c r="BK4" s="30">
        <f t="shared" si="18"/>
        <v>5</v>
      </c>
      <c r="BL4" s="32">
        <v>6</v>
      </c>
      <c r="BM4" s="40">
        <v>13</v>
      </c>
      <c r="BN4" s="30">
        <f t="shared" si="19"/>
        <v>5</v>
      </c>
      <c r="BO4" s="40">
        <f t="shared" si="20"/>
        <v>53</v>
      </c>
      <c r="BP4" s="30">
        <f t="shared" si="21"/>
        <v>5</v>
      </c>
      <c r="BQ4" s="40">
        <f t="shared" si="22"/>
        <v>228</v>
      </c>
      <c r="BR4" s="41"/>
      <c r="BS4" s="32">
        <v>9.3000000000000007</v>
      </c>
      <c r="BT4" s="40">
        <v>18</v>
      </c>
      <c r="BU4" s="30">
        <f t="shared" si="23"/>
        <v>5</v>
      </c>
      <c r="BV4" s="32">
        <v>6.45</v>
      </c>
      <c r="BW4" s="40">
        <v>17</v>
      </c>
      <c r="BX4" s="30">
        <f t="shared" si="24"/>
        <v>5</v>
      </c>
      <c r="BY4" s="32">
        <v>39</v>
      </c>
      <c r="BZ4" s="40">
        <v>16</v>
      </c>
      <c r="CA4" s="30">
        <f t="shared" si="25"/>
        <v>5</v>
      </c>
      <c r="CB4" s="32">
        <v>19</v>
      </c>
      <c r="CC4" s="40">
        <v>20</v>
      </c>
      <c r="CD4" s="30">
        <f t="shared" si="26"/>
        <v>5</v>
      </c>
      <c r="CE4" s="40">
        <f t="shared" si="27"/>
        <v>71</v>
      </c>
      <c r="CF4" s="30">
        <f t="shared" si="28"/>
        <v>5</v>
      </c>
      <c r="CG4" s="40">
        <f t="shared" si="29"/>
        <v>299</v>
      </c>
      <c r="CH4" s="238">
        <v>5</v>
      </c>
      <c r="CI4" s="32" t="s">
        <v>114</v>
      </c>
    </row>
    <row r="5" spans="1:87">
      <c r="A5" s="3"/>
      <c r="B5" s="32" t="s">
        <v>115</v>
      </c>
      <c r="C5" s="48">
        <v>35598</v>
      </c>
      <c r="D5" s="113" t="s">
        <v>19</v>
      </c>
      <c r="E5" s="32">
        <v>154</v>
      </c>
      <c r="F5" s="32">
        <v>38</v>
      </c>
      <c r="G5" s="32">
        <v>68</v>
      </c>
      <c r="H5" s="32">
        <v>1.139</v>
      </c>
      <c r="I5" s="44">
        <f t="shared" si="0"/>
        <v>16.022938100860181</v>
      </c>
      <c r="J5" s="43" t="s">
        <v>30</v>
      </c>
      <c r="K5" s="32">
        <f t="shared" si="1"/>
        <v>115.32303878531219</v>
      </c>
      <c r="L5" s="32" t="s">
        <v>115</v>
      </c>
      <c r="M5" s="32">
        <v>193</v>
      </c>
      <c r="N5" s="40">
        <v>20</v>
      </c>
      <c r="O5" s="30">
        <f t="shared" si="2"/>
        <v>5</v>
      </c>
      <c r="P5" s="32">
        <v>4.5999999999999996</v>
      </c>
      <c r="Q5" s="40">
        <v>20</v>
      </c>
      <c r="R5" s="30">
        <f t="shared" si="3"/>
        <v>5</v>
      </c>
      <c r="S5" s="32">
        <v>9.6</v>
      </c>
      <c r="T5" s="40">
        <v>20</v>
      </c>
      <c r="U5" s="30">
        <f t="shared" si="4"/>
        <v>5</v>
      </c>
      <c r="V5" s="32">
        <v>1515</v>
      </c>
      <c r="W5" s="40">
        <v>20</v>
      </c>
      <c r="X5" s="30">
        <f t="shared" si="5"/>
        <v>5</v>
      </c>
      <c r="Y5" s="40">
        <f t="shared" si="6"/>
        <v>80</v>
      </c>
      <c r="Z5" s="30">
        <f t="shared" si="7"/>
        <v>5</v>
      </c>
      <c r="AA5" s="223">
        <v>5</v>
      </c>
      <c r="AB5" s="32" t="s">
        <v>115</v>
      </c>
      <c r="AC5" s="32">
        <v>37</v>
      </c>
      <c r="AD5" s="40">
        <v>7</v>
      </c>
      <c r="AE5" s="30">
        <f t="shared" si="8"/>
        <v>4</v>
      </c>
      <c r="AF5" s="32">
        <v>-10</v>
      </c>
      <c r="AG5" s="40">
        <v>0</v>
      </c>
      <c r="AH5" s="30">
        <f t="shared" si="9"/>
        <v>2</v>
      </c>
      <c r="AI5" s="32">
        <v>125</v>
      </c>
      <c r="AJ5" s="40">
        <v>20</v>
      </c>
      <c r="AK5" s="30">
        <f t="shared" si="10"/>
        <v>5</v>
      </c>
      <c r="AL5" s="32">
        <v>4</v>
      </c>
      <c r="AM5" s="40">
        <v>1</v>
      </c>
      <c r="AN5" s="30">
        <f t="shared" si="11"/>
        <v>3</v>
      </c>
      <c r="AO5" s="32">
        <v>9</v>
      </c>
      <c r="AP5" s="40">
        <v>9</v>
      </c>
      <c r="AQ5" s="30">
        <f t="shared" si="12"/>
        <v>4</v>
      </c>
      <c r="AR5" s="32">
        <v>10</v>
      </c>
      <c r="AS5" s="40">
        <v>10</v>
      </c>
      <c r="AT5" s="30">
        <f t="shared" si="13"/>
        <v>5</v>
      </c>
      <c r="AU5" s="40">
        <f t="shared" si="14"/>
        <v>47</v>
      </c>
      <c r="AV5" s="30">
        <f t="shared" si="15"/>
        <v>5</v>
      </c>
      <c r="AW5" s="40">
        <f t="shared" si="16"/>
        <v>127</v>
      </c>
      <c r="AX5" s="41"/>
      <c r="AY5" s="32" t="s">
        <v>115</v>
      </c>
      <c r="AZ5" s="32">
        <v>9.08</v>
      </c>
      <c r="BA5" s="40">
        <v>0</v>
      </c>
      <c r="BB5" s="30">
        <v>2</v>
      </c>
      <c r="BC5" s="32">
        <v>15.48</v>
      </c>
      <c r="BD5" s="40">
        <v>0</v>
      </c>
      <c r="BE5" s="30">
        <f>IF(BC5=0,"",IF(BC5&gt;15,2,IF(AND(BC5&lt;=15,BC5&gt;14.3),3,IF(AND(BC5&lt;=14.3,BC5&gt;14),4,IF(AND(BC5&lt;=14),5)))))</f>
        <v>2</v>
      </c>
      <c r="BF5" s="32">
        <v>17</v>
      </c>
      <c r="BG5" s="40">
        <v>17</v>
      </c>
      <c r="BH5" s="30">
        <f t="shared" si="17"/>
        <v>5</v>
      </c>
      <c r="BI5" s="32">
        <v>11.4</v>
      </c>
      <c r="BJ5" s="40">
        <v>20</v>
      </c>
      <c r="BK5" s="30">
        <f t="shared" si="18"/>
        <v>5</v>
      </c>
      <c r="BL5" s="32">
        <v>9</v>
      </c>
      <c r="BM5" s="40">
        <v>19</v>
      </c>
      <c r="BN5" s="30">
        <f t="shared" si="19"/>
        <v>5</v>
      </c>
      <c r="BO5" s="40">
        <f t="shared" si="20"/>
        <v>56</v>
      </c>
      <c r="BP5" s="30">
        <f t="shared" si="21"/>
        <v>5</v>
      </c>
      <c r="BQ5" s="40">
        <f t="shared" si="22"/>
        <v>183</v>
      </c>
      <c r="BR5" s="41"/>
      <c r="BS5" s="32">
        <v>9</v>
      </c>
      <c r="BT5" s="40">
        <v>20</v>
      </c>
      <c r="BU5" s="30">
        <f t="shared" si="23"/>
        <v>5</v>
      </c>
      <c r="BV5" s="32">
        <v>7.3</v>
      </c>
      <c r="BW5" s="40">
        <v>10</v>
      </c>
      <c r="BX5" s="30">
        <f t="shared" si="24"/>
        <v>5</v>
      </c>
      <c r="BY5" s="32">
        <v>36</v>
      </c>
      <c r="BZ5" s="40">
        <v>10</v>
      </c>
      <c r="CA5" s="30">
        <f t="shared" si="25"/>
        <v>5</v>
      </c>
      <c r="CB5" s="32">
        <v>19</v>
      </c>
      <c r="CC5" s="40">
        <v>20</v>
      </c>
      <c r="CD5" s="30">
        <f t="shared" si="26"/>
        <v>5</v>
      </c>
      <c r="CE5" s="40">
        <f t="shared" si="27"/>
        <v>60</v>
      </c>
      <c r="CF5" s="30">
        <f t="shared" si="28"/>
        <v>5</v>
      </c>
      <c r="CG5" s="40">
        <f t="shared" si="29"/>
        <v>243</v>
      </c>
      <c r="CH5" s="238">
        <v>5</v>
      </c>
      <c r="CI5" s="32" t="s">
        <v>115</v>
      </c>
    </row>
    <row r="6" spans="1:87">
      <c r="A6" s="3"/>
      <c r="B6" s="32" t="s">
        <v>116</v>
      </c>
      <c r="C6" s="48">
        <v>35186</v>
      </c>
      <c r="D6" s="113" t="s">
        <v>19</v>
      </c>
      <c r="E6" s="32">
        <v>144</v>
      </c>
      <c r="F6" s="32">
        <v>39</v>
      </c>
      <c r="G6" s="32">
        <v>69</v>
      </c>
      <c r="H6" s="32">
        <v>1.1379999999999999</v>
      </c>
      <c r="I6" s="44">
        <f t="shared" si="0"/>
        <v>18.80787037037037</v>
      </c>
      <c r="J6" s="43" t="s">
        <v>26</v>
      </c>
      <c r="K6" s="32">
        <f t="shared" si="1"/>
        <v>96.27874990448538</v>
      </c>
      <c r="L6" s="32" t="s">
        <v>116</v>
      </c>
      <c r="M6" s="32">
        <v>174</v>
      </c>
      <c r="N6" s="40">
        <v>14</v>
      </c>
      <c r="O6" s="30">
        <f t="shared" si="2"/>
        <v>5</v>
      </c>
      <c r="P6" s="32">
        <v>4.8</v>
      </c>
      <c r="Q6" s="40">
        <v>20</v>
      </c>
      <c r="R6" s="30">
        <f t="shared" si="3"/>
        <v>5</v>
      </c>
      <c r="S6" s="32">
        <v>10</v>
      </c>
      <c r="T6" s="40">
        <v>20</v>
      </c>
      <c r="U6" s="30">
        <f t="shared" si="4"/>
        <v>5</v>
      </c>
      <c r="V6" s="32">
        <v>1400</v>
      </c>
      <c r="W6" s="40">
        <v>20</v>
      </c>
      <c r="X6" s="30">
        <f t="shared" si="5"/>
        <v>5</v>
      </c>
      <c r="Y6" s="40">
        <f t="shared" si="6"/>
        <v>74</v>
      </c>
      <c r="Z6" s="30">
        <f t="shared" si="7"/>
        <v>5</v>
      </c>
      <c r="AA6" s="223">
        <v>5</v>
      </c>
      <c r="AB6" s="32" t="s">
        <v>116</v>
      </c>
      <c r="AC6" s="32">
        <v>45</v>
      </c>
      <c r="AD6" s="40">
        <v>20</v>
      </c>
      <c r="AE6" s="30">
        <f t="shared" si="8"/>
        <v>5</v>
      </c>
      <c r="AF6" s="32">
        <v>11</v>
      </c>
      <c r="AG6" s="40">
        <v>18</v>
      </c>
      <c r="AH6" s="30">
        <f t="shared" si="9"/>
        <v>5</v>
      </c>
      <c r="AI6" s="32">
        <v>111</v>
      </c>
      <c r="AJ6" s="40">
        <v>15</v>
      </c>
      <c r="AK6" s="30">
        <f t="shared" si="10"/>
        <v>5</v>
      </c>
      <c r="AL6" s="32">
        <v>8</v>
      </c>
      <c r="AM6" s="40">
        <v>12</v>
      </c>
      <c r="AN6" s="30">
        <f t="shared" si="11"/>
        <v>5</v>
      </c>
      <c r="AO6" s="32">
        <v>16</v>
      </c>
      <c r="AP6" s="40">
        <v>16</v>
      </c>
      <c r="AQ6" s="30">
        <f t="shared" si="12"/>
        <v>5</v>
      </c>
      <c r="AR6" s="32">
        <v>10</v>
      </c>
      <c r="AS6" s="40">
        <v>10</v>
      </c>
      <c r="AT6" s="30">
        <f t="shared" si="13"/>
        <v>5</v>
      </c>
      <c r="AU6" s="40">
        <f t="shared" si="14"/>
        <v>91</v>
      </c>
      <c r="AV6" s="30">
        <f t="shared" si="15"/>
        <v>5</v>
      </c>
      <c r="AW6" s="40">
        <f t="shared" si="16"/>
        <v>165</v>
      </c>
      <c r="AX6" s="223">
        <v>5</v>
      </c>
      <c r="AY6" s="32" t="s">
        <v>116</v>
      </c>
      <c r="AZ6" s="32">
        <v>8.25</v>
      </c>
      <c r="BA6" s="40">
        <v>5</v>
      </c>
      <c r="BB6" s="30">
        <v>4</v>
      </c>
      <c r="BC6" s="32">
        <v>817.49</v>
      </c>
      <c r="BD6" s="40">
        <v>5</v>
      </c>
      <c r="BE6" s="30">
        <v>4</v>
      </c>
      <c r="BF6" s="32">
        <v>15</v>
      </c>
      <c r="BG6" s="40">
        <v>15</v>
      </c>
      <c r="BH6" s="30">
        <f t="shared" si="17"/>
        <v>5</v>
      </c>
      <c r="BI6" s="32"/>
      <c r="BJ6" s="40"/>
      <c r="BK6" s="30" t="str">
        <f t="shared" si="18"/>
        <v/>
      </c>
      <c r="BL6" s="32"/>
      <c r="BM6" s="40"/>
      <c r="BN6" s="30" t="str">
        <f t="shared" si="19"/>
        <v/>
      </c>
      <c r="BO6" s="40">
        <f t="shared" si="20"/>
        <v>25</v>
      </c>
      <c r="BP6" s="30">
        <f t="shared" si="21"/>
        <v>4</v>
      </c>
      <c r="BQ6" s="40">
        <f t="shared" si="22"/>
        <v>190</v>
      </c>
      <c r="BR6" s="41"/>
      <c r="BS6" s="32">
        <v>8.6</v>
      </c>
      <c r="BT6" s="40">
        <v>20</v>
      </c>
      <c r="BU6" s="30">
        <f t="shared" si="23"/>
        <v>5</v>
      </c>
      <c r="BV6" s="32">
        <v>7.5</v>
      </c>
      <c r="BW6" s="40">
        <v>5</v>
      </c>
      <c r="BX6" s="30">
        <f t="shared" si="24"/>
        <v>4</v>
      </c>
      <c r="BY6" s="32">
        <v>33</v>
      </c>
      <c r="BZ6" s="40">
        <v>7</v>
      </c>
      <c r="CA6" s="30">
        <f t="shared" si="25"/>
        <v>4</v>
      </c>
      <c r="CB6" s="32">
        <v>21</v>
      </c>
      <c r="CC6" s="40">
        <v>20</v>
      </c>
      <c r="CD6" s="30">
        <f t="shared" si="26"/>
        <v>5</v>
      </c>
      <c r="CE6" s="40">
        <f t="shared" si="27"/>
        <v>52</v>
      </c>
      <c r="CF6" s="30">
        <f t="shared" si="28"/>
        <v>5</v>
      </c>
      <c r="CG6" s="40">
        <f t="shared" si="29"/>
        <v>242</v>
      </c>
      <c r="CH6" s="141"/>
      <c r="CI6" s="32" t="s">
        <v>116</v>
      </c>
    </row>
    <row r="7" spans="1:87">
      <c r="A7" s="3"/>
      <c r="B7" s="34" t="s">
        <v>117</v>
      </c>
      <c r="C7" s="48">
        <v>35263</v>
      </c>
      <c r="D7" s="113" t="s">
        <v>19</v>
      </c>
      <c r="E7" s="32">
        <v>151</v>
      </c>
      <c r="F7" s="32">
        <v>32</v>
      </c>
      <c r="G7" s="32">
        <v>61</v>
      </c>
      <c r="H7" s="32">
        <v>1.1379999999999999</v>
      </c>
      <c r="I7" s="44">
        <f t="shared" si="0"/>
        <v>14.034472172273146</v>
      </c>
      <c r="J7" s="43" t="s">
        <v>82</v>
      </c>
      <c r="K7" s="32">
        <f t="shared" si="1"/>
        <v>129.42608545334065</v>
      </c>
      <c r="L7" s="34" t="s">
        <v>117</v>
      </c>
      <c r="M7" s="32">
        <v>160</v>
      </c>
      <c r="N7" s="40">
        <v>1</v>
      </c>
      <c r="O7" s="30">
        <f t="shared" si="2"/>
        <v>3</v>
      </c>
      <c r="P7" s="32">
        <v>4.9000000000000004</v>
      </c>
      <c r="Q7" s="40">
        <v>18</v>
      </c>
      <c r="R7" s="30">
        <f t="shared" si="3"/>
        <v>5</v>
      </c>
      <c r="S7" s="32">
        <v>10.6</v>
      </c>
      <c r="T7" s="40">
        <v>12</v>
      </c>
      <c r="U7" s="30">
        <f t="shared" si="4"/>
        <v>5</v>
      </c>
      <c r="V7" s="32">
        <v>1490</v>
      </c>
      <c r="W7" s="40">
        <v>20</v>
      </c>
      <c r="X7" s="30">
        <f t="shared" si="5"/>
        <v>5</v>
      </c>
      <c r="Y7" s="40">
        <f t="shared" si="6"/>
        <v>51</v>
      </c>
      <c r="Z7" s="30">
        <f t="shared" si="7"/>
        <v>5</v>
      </c>
      <c r="AA7" s="41"/>
      <c r="AB7" s="34" t="s">
        <v>117</v>
      </c>
      <c r="AC7" s="32">
        <v>44</v>
      </c>
      <c r="AD7" s="40">
        <v>16</v>
      </c>
      <c r="AE7" s="30">
        <f t="shared" si="8"/>
        <v>5</v>
      </c>
      <c r="AF7" s="32">
        <v>2</v>
      </c>
      <c r="AG7" s="40">
        <v>0</v>
      </c>
      <c r="AH7" s="30">
        <f t="shared" si="9"/>
        <v>2</v>
      </c>
      <c r="AI7" s="32">
        <v>93</v>
      </c>
      <c r="AJ7" s="40">
        <v>10</v>
      </c>
      <c r="AK7" s="30">
        <f t="shared" si="10"/>
        <v>5</v>
      </c>
      <c r="AL7" s="32">
        <v>1</v>
      </c>
      <c r="AM7" s="40">
        <v>0</v>
      </c>
      <c r="AN7" s="30">
        <f t="shared" si="11"/>
        <v>2</v>
      </c>
      <c r="AO7" s="32">
        <v>10</v>
      </c>
      <c r="AP7" s="40">
        <v>10</v>
      </c>
      <c r="AQ7" s="30">
        <f t="shared" si="12"/>
        <v>5</v>
      </c>
      <c r="AR7" s="32">
        <v>10</v>
      </c>
      <c r="AS7" s="40">
        <v>10</v>
      </c>
      <c r="AT7" s="30">
        <f t="shared" si="13"/>
        <v>5</v>
      </c>
      <c r="AU7" s="40">
        <f t="shared" si="14"/>
        <v>46</v>
      </c>
      <c r="AV7" s="30">
        <f t="shared" si="15"/>
        <v>5</v>
      </c>
      <c r="AW7" s="40">
        <f t="shared" si="16"/>
        <v>97</v>
      </c>
      <c r="AX7" s="41"/>
      <c r="AY7" s="34" t="s">
        <v>117</v>
      </c>
      <c r="AZ7" s="32">
        <v>7.43</v>
      </c>
      <c r="BA7" s="40">
        <v>5</v>
      </c>
      <c r="BB7" s="30">
        <v>4</v>
      </c>
      <c r="BC7" s="32">
        <v>16.27</v>
      </c>
      <c r="BD7" s="40">
        <v>5</v>
      </c>
      <c r="BE7" s="30">
        <v>4</v>
      </c>
      <c r="BF7" s="32">
        <v>16</v>
      </c>
      <c r="BG7" s="40">
        <v>16</v>
      </c>
      <c r="BH7" s="30">
        <f t="shared" si="17"/>
        <v>5</v>
      </c>
      <c r="BI7" s="32">
        <v>13.700000000000001</v>
      </c>
      <c r="BJ7" s="40">
        <v>9</v>
      </c>
      <c r="BK7" s="30">
        <f t="shared" si="18"/>
        <v>4</v>
      </c>
      <c r="BL7" s="32">
        <v>9</v>
      </c>
      <c r="BM7" s="40">
        <v>19</v>
      </c>
      <c r="BN7" s="30">
        <f t="shared" si="19"/>
        <v>5</v>
      </c>
      <c r="BO7" s="40">
        <f t="shared" si="20"/>
        <v>54</v>
      </c>
      <c r="BP7" s="30">
        <f t="shared" si="21"/>
        <v>5</v>
      </c>
      <c r="BQ7" s="40">
        <f t="shared" si="22"/>
        <v>151</v>
      </c>
      <c r="BR7" s="41"/>
      <c r="BS7" s="32">
        <v>9.1999999999999993</v>
      </c>
      <c r="BT7" s="40">
        <v>19</v>
      </c>
      <c r="BU7" s="30">
        <f t="shared" si="23"/>
        <v>5</v>
      </c>
      <c r="BV7" s="32">
        <v>7.5</v>
      </c>
      <c r="BW7" s="40">
        <v>5</v>
      </c>
      <c r="BX7" s="30">
        <f t="shared" si="24"/>
        <v>4</v>
      </c>
      <c r="BY7" s="32">
        <v>34</v>
      </c>
      <c r="BZ7" s="40">
        <v>8</v>
      </c>
      <c r="CA7" s="30">
        <f t="shared" si="25"/>
        <v>4</v>
      </c>
      <c r="CB7" s="32">
        <v>18</v>
      </c>
      <c r="CC7" s="40">
        <v>20</v>
      </c>
      <c r="CD7" s="30">
        <f t="shared" si="26"/>
        <v>5</v>
      </c>
      <c r="CE7" s="40">
        <f t="shared" si="27"/>
        <v>52</v>
      </c>
      <c r="CF7" s="30">
        <f t="shared" si="28"/>
        <v>5</v>
      </c>
      <c r="CG7" s="40">
        <f t="shared" si="29"/>
        <v>203</v>
      </c>
      <c r="CH7" s="141"/>
      <c r="CI7" s="34" t="s">
        <v>117</v>
      </c>
    </row>
    <row r="8" spans="1:87">
      <c r="A8" s="3"/>
      <c r="B8" s="32" t="s">
        <v>118</v>
      </c>
      <c r="C8" s="48">
        <v>35193</v>
      </c>
      <c r="D8" s="113" t="s">
        <v>19</v>
      </c>
      <c r="E8" s="32"/>
      <c r="F8" s="32"/>
      <c r="G8" s="32"/>
      <c r="H8" s="32"/>
      <c r="I8" s="44"/>
      <c r="J8" s="43"/>
      <c r="K8" s="32"/>
      <c r="L8" s="32" t="s">
        <v>118</v>
      </c>
      <c r="M8" s="32"/>
      <c r="N8" s="40"/>
      <c r="O8" s="30" t="str">
        <f t="shared" si="2"/>
        <v/>
      </c>
      <c r="P8" s="32">
        <v>5.3</v>
      </c>
      <c r="Q8" s="40">
        <v>11</v>
      </c>
      <c r="R8" s="30">
        <f t="shared" si="3"/>
        <v>5</v>
      </c>
      <c r="S8" s="32">
        <v>11</v>
      </c>
      <c r="T8" s="40">
        <v>5</v>
      </c>
      <c r="U8" s="30">
        <f t="shared" si="4"/>
        <v>4</v>
      </c>
      <c r="V8" s="32">
        <v>1275</v>
      </c>
      <c r="W8" s="40">
        <v>17</v>
      </c>
      <c r="X8" s="30">
        <f t="shared" si="5"/>
        <v>5</v>
      </c>
      <c r="Y8" s="40">
        <f t="shared" si="6"/>
        <v>33</v>
      </c>
      <c r="Z8" s="30">
        <f t="shared" si="7"/>
        <v>5</v>
      </c>
      <c r="AA8" s="41"/>
      <c r="AB8" s="32" t="s">
        <v>118</v>
      </c>
      <c r="AC8" s="32">
        <v>33</v>
      </c>
      <c r="AD8" s="40">
        <v>2</v>
      </c>
      <c r="AE8" s="30">
        <f t="shared" si="8"/>
        <v>3</v>
      </c>
      <c r="AF8" s="32">
        <v>4</v>
      </c>
      <c r="AG8" s="40">
        <v>1</v>
      </c>
      <c r="AH8" s="30">
        <f t="shared" si="9"/>
        <v>3</v>
      </c>
      <c r="AI8" s="32">
        <v>98</v>
      </c>
      <c r="AJ8" s="40">
        <v>12</v>
      </c>
      <c r="AK8" s="30">
        <f t="shared" si="10"/>
        <v>5</v>
      </c>
      <c r="AL8" s="32">
        <v>4</v>
      </c>
      <c r="AM8" s="40">
        <v>1</v>
      </c>
      <c r="AN8" s="30">
        <f t="shared" si="11"/>
        <v>3</v>
      </c>
      <c r="AO8" s="32">
        <v>10</v>
      </c>
      <c r="AP8" s="40">
        <v>10</v>
      </c>
      <c r="AQ8" s="30">
        <f t="shared" si="12"/>
        <v>5</v>
      </c>
      <c r="AR8" s="32">
        <v>8</v>
      </c>
      <c r="AS8" s="40">
        <v>8</v>
      </c>
      <c r="AT8" s="30">
        <f t="shared" si="13"/>
        <v>4</v>
      </c>
      <c r="AU8" s="40">
        <f t="shared" si="14"/>
        <v>34</v>
      </c>
      <c r="AV8" s="30">
        <f t="shared" si="15"/>
        <v>4</v>
      </c>
      <c r="AW8" s="40">
        <f t="shared" si="16"/>
        <v>67</v>
      </c>
      <c r="AX8" s="41"/>
      <c r="AY8" s="32" t="s">
        <v>119</v>
      </c>
      <c r="AZ8" s="32">
        <v>7.08</v>
      </c>
      <c r="BA8" s="40">
        <v>0</v>
      </c>
      <c r="BB8" s="30">
        <v>2</v>
      </c>
      <c r="BC8" s="32">
        <v>19.18</v>
      </c>
      <c r="BD8" s="40">
        <v>0</v>
      </c>
      <c r="BE8" s="30">
        <f>IF(BC8=0,"",IF(BC8&gt;15,2,IF(AND(BC8&lt;=15,BC8&gt;14.3),3,IF(AND(BC8&lt;=14.3,BC8&gt;14),4,IF(AND(BC8&lt;=14),5)))))</f>
        <v>2</v>
      </c>
      <c r="BF8" s="32">
        <v>12</v>
      </c>
      <c r="BG8" s="40">
        <v>12</v>
      </c>
      <c r="BH8" s="30">
        <f t="shared" si="17"/>
        <v>5</v>
      </c>
      <c r="BI8" s="32">
        <v>13.700000000000001</v>
      </c>
      <c r="BJ8" s="40">
        <v>9</v>
      </c>
      <c r="BK8" s="30">
        <f t="shared" si="18"/>
        <v>4</v>
      </c>
      <c r="BL8" s="32">
        <v>3</v>
      </c>
      <c r="BM8" s="40">
        <v>3</v>
      </c>
      <c r="BN8" s="30">
        <f t="shared" si="19"/>
        <v>3</v>
      </c>
      <c r="BO8" s="40">
        <f t="shared" si="20"/>
        <v>24</v>
      </c>
      <c r="BP8" s="30">
        <f t="shared" si="21"/>
        <v>4</v>
      </c>
      <c r="BQ8" s="40">
        <f t="shared" si="22"/>
        <v>91</v>
      </c>
      <c r="BR8" s="41"/>
      <c r="BS8" s="32">
        <v>9.6</v>
      </c>
      <c r="BT8" s="40">
        <v>15</v>
      </c>
      <c r="BU8" s="30">
        <f t="shared" si="23"/>
        <v>5</v>
      </c>
      <c r="BV8" s="32">
        <v>7.17</v>
      </c>
      <c r="BW8" s="40">
        <v>11</v>
      </c>
      <c r="BX8" s="30">
        <f t="shared" si="24"/>
        <v>5</v>
      </c>
      <c r="BY8" s="32">
        <v>31</v>
      </c>
      <c r="BZ8" s="40">
        <v>6</v>
      </c>
      <c r="CA8" s="30">
        <f t="shared" si="25"/>
        <v>4</v>
      </c>
      <c r="CB8" s="32">
        <v>18</v>
      </c>
      <c r="CC8" s="40">
        <v>20</v>
      </c>
      <c r="CD8" s="30">
        <f t="shared" si="26"/>
        <v>5</v>
      </c>
      <c r="CE8" s="40">
        <f t="shared" si="27"/>
        <v>52</v>
      </c>
      <c r="CF8" s="30">
        <f t="shared" si="28"/>
        <v>5</v>
      </c>
      <c r="CG8" s="40">
        <f t="shared" si="29"/>
        <v>143</v>
      </c>
      <c r="CH8" s="141"/>
      <c r="CI8" s="32" t="s">
        <v>119</v>
      </c>
    </row>
    <row r="9" spans="1:87">
      <c r="A9" s="3"/>
      <c r="B9" s="32" t="s">
        <v>120</v>
      </c>
      <c r="C9" s="48">
        <v>35448</v>
      </c>
      <c r="D9" s="113" t="s">
        <v>19</v>
      </c>
      <c r="E9" s="32">
        <v>146</v>
      </c>
      <c r="F9" s="32">
        <v>35</v>
      </c>
      <c r="G9" s="32">
        <v>65</v>
      </c>
      <c r="H9" s="32">
        <v>1.139</v>
      </c>
      <c r="I9" s="44">
        <f t="shared" si="0"/>
        <v>16.419590917620567</v>
      </c>
      <c r="J9" s="43" t="s">
        <v>30</v>
      </c>
      <c r="K9" s="32">
        <f t="shared" si="1"/>
        <v>109.44823394340516</v>
      </c>
      <c r="L9" s="32" t="s">
        <v>120</v>
      </c>
      <c r="M9" s="32">
        <v>148</v>
      </c>
      <c r="N9" s="40">
        <v>0</v>
      </c>
      <c r="O9" s="30">
        <f t="shared" si="2"/>
        <v>2</v>
      </c>
      <c r="P9" s="32">
        <v>5.0999999999999996</v>
      </c>
      <c r="Q9" s="40">
        <v>15</v>
      </c>
      <c r="R9" s="30">
        <f t="shared" si="3"/>
        <v>5</v>
      </c>
      <c r="S9" s="32">
        <v>10.8</v>
      </c>
      <c r="T9" s="40">
        <v>10</v>
      </c>
      <c r="U9" s="30">
        <f t="shared" si="4"/>
        <v>5</v>
      </c>
      <c r="V9" s="32">
        <v>1340</v>
      </c>
      <c r="W9" s="40">
        <v>14</v>
      </c>
      <c r="X9" s="30">
        <f t="shared" si="5"/>
        <v>5</v>
      </c>
      <c r="Y9" s="40">
        <f t="shared" si="6"/>
        <v>39</v>
      </c>
      <c r="Z9" s="30">
        <f t="shared" si="7"/>
        <v>5</v>
      </c>
      <c r="AA9" s="41"/>
      <c r="AB9" s="32" t="s">
        <v>120</v>
      </c>
      <c r="AC9" s="32">
        <v>24</v>
      </c>
      <c r="AD9" s="40">
        <v>0</v>
      </c>
      <c r="AE9" s="30">
        <f t="shared" si="8"/>
        <v>2</v>
      </c>
      <c r="AF9" s="32">
        <v>-8</v>
      </c>
      <c r="AG9" s="40">
        <v>0</v>
      </c>
      <c r="AH9" s="30">
        <f t="shared" si="9"/>
        <v>2</v>
      </c>
      <c r="AI9" s="32">
        <v>68</v>
      </c>
      <c r="AJ9" s="40">
        <v>0</v>
      </c>
      <c r="AK9" s="30">
        <f t="shared" si="10"/>
        <v>2</v>
      </c>
      <c r="AL9" s="32">
        <v>3</v>
      </c>
      <c r="AM9" s="40">
        <v>0</v>
      </c>
      <c r="AN9" s="30">
        <f t="shared" si="11"/>
        <v>2</v>
      </c>
      <c r="AO9" s="32">
        <v>4</v>
      </c>
      <c r="AP9" s="40">
        <v>4</v>
      </c>
      <c r="AQ9" s="30">
        <f t="shared" si="12"/>
        <v>3</v>
      </c>
      <c r="AR9" s="32">
        <v>4</v>
      </c>
      <c r="AS9" s="40">
        <v>4</v>
      </c>
      <c r="AT9" s="30">
        <f t="shared" si="13"/>
        <v>3</v>
      </c>
      <c r="AU9" s="40">
        <f t="shared" si="14"/>
        <v>8</v>
      </c>
      <c r="AV9" s="30">
        <f t="shared" si="15"/>
        <v>3</v>
      </c>
      <c r="AW9" s="40">
        <f t="shared" si="16"/>
        <v>47</v>
      </c>
      <c r="AX9" s="41"/>
      <c r="AY9" s="32" t="s">
        <v>120</v>
      </c>
      <c r="AZ9" s="32"/>
      <c r="BA9" s="40"/>
      <c r="BB9" s="30"/>
      <c r="BC9" s="32"/>
      <c r="BD9" s="40"/>
      <c r="BE9" s="30" t="str">
        <f>IF(BC9=0,"",IF(BC9&gt;15,2,IF(AND(BC9&lt;=15,BC9&gt;14.3),3,IF(AND(BC9&lt;=14.3,BC9&gt;14),4,IF(AND(BC9&lt;=14),5)))))</f>
        <v/>
      </c>
      <c r="BF9" s="32">
        <v>7</v>
      </c>
      <c r="BG9" s="40">
        <v>3</v>
      </c>
      <c r="BH9" s="30">
        <f t="shared" si="17"/>
        <v>3</v>
      </c>
      <c r="BI9" s="32">
        <v>14.200000000000001</v>
      </c>
      <c r="BJ9" s="40">
        <v>7</v>
      </c>
      <c r="BK9" s="30">
        <f t="shared" si="18"/>
        <v>4</v>
      </c>
      <c r="BL9" s="32">
        <v>6</v>
      </c>
      <c r="BM9" s="40">
        <v>13</v>
      </c>
      <c r="BN9" s="30">
        <f t="shared" si="19"/>
        <v>5</v>
      </c>
      <c r="BO9" s="40">
        <f t="shared" si="20"/>
        <v>23</v>
      </c>
      <c r="BP9" s="30">
        <f t="shared" si="21"/>
        <v>4</v>
      </c>
      <c r="BQ9" s="40">
        <f t="shared" si="22"/>
        <v>70</v>
      </c>
      <c r="BR9" s="41"/>
      <c r="BS9" s="32">
        <v>9.9</v>
      </c>
      <c r="BT9" s="40">
        <v>10</v>
      </c>
      <c r="BU9" s="30">
        <f t="shared" si="23"/>
        <v>5</v>
      </c>
      <c r="BV9" s="32">
        <v>8.08</v>
      </c>
      <c r="BW9" s="40">
        <v>8</v>
      </c>
      <c r="BX9" s="30">
        <f t="shared" si="24"/>
        <v>3</v>
      </c>
      <c r="BY9" s="32">
        <v>30</v>
      </c>
      <c r="BZ9" s="40">
        <v>5</v>
      </c>
      <c r="CA9" s="30">
        <f t="shared" si="25"/>
        <v>4</v>
      </c>
      <c r="CB9" s="32">
        <v>10</v>
      </c>
      <c r="CC9" s="40">
        <v>10</v>
      </c>
      <c r="CD9" s="30">
        <f t="shared" si="26"/>
        <v>5</v>
      </c>
      <c r="CE9" s="40">
        <f t="shared" si="27"/>
        <v>33</v>
      </c>
      <c r="CF9" s="30">
        <f t="shared" si="28"/>
        <v>5</v>
      </c>
      <c r="CG9" s="40">
        <f t="shared" si="29"/>
        <v>103</v>
      </c>
      <c r="CH9" s="141"/>
      <c r="CI9" s="32" t="s">
        <v>120</v>
      </c>
    </row>
    <row r="10" spans="1:87">
      <c r="A10" s="3"/>
      <c r="B10" s="32" t="s">
        <v>119</v>
      </c>
      <c r="C10" s="48">
        <v>35462</v>
      </c>
      <c r="D10" s="113" t="s">
        <v>19</v>
      </c>
      <c r="E10" s="32">
        <v>153</v>
      </c>
      <c r="F10" s="32">
        <v>52</v>
      </c>
      <c r="G10" s="32">
        <v>72</v>
      </c>
      <c r="H10" s="32">
        <v>1.139</v>
      </c>
      <c r="I10" s="44">
        <f t="shared" si="0"/>
        <v>22.213678499722331</v>
      </c>
      <c r="J10" s="43" t="s">
        <v>21</v>
      </c>
      <c r="K10" s="32">
        <f t="shared" si="1"/>
        <v>94.21641791044776</v>
      </c>
      <c r="L10" s="32" t="s">
        <v>119</v>
      </c>
      <c r="M10" s="32">
        <v>133</v>
      </c>
      <c r="N10" s="40">
        <v>0</v>
      </c>
      <c r="O10" s="30">
        <f t="shared" si="2"/>
        <v>2</v>
      </c>
      <c r="P10" s="32">
        <v>5.5</v>
      </c>
      <c r="Q10" s="40">
        <v>8</v>
      </c>
      <c r="R10" s="30">
        <f t="shared" si="3"/>
        <v>4</v>
      </c>
      <c r="S10" s="32">
        <v>11.8</v>
      </c>
      <c r="T10" s="40">
        <v>0</v>
      </c>
      <c r="U10" s="30">
        <f t="shared" si="4"/>
        <v>2</v>
      </c>
      <c r="V10" s="32">
        <v>1250</v>
      </c>
      <c r="W10" s="40">
        <v>9</v>
      </c>
      <c r="X10" s="30">
        <f t="shared" si="5"/>
        <v>4</v>
      </c>
      <c r="Y10" s="40">
        <f t="shared" si="6"/>
        <v>17</v>
      </c>
      <c r="Z10" s="30">
        <f t="shared" si="7"/>
        <v>4</v>
      </c>
      <c r="AA10" s="41"/>
      <c r="AB10" s="32" t="s">
        <v>119</v>
      </c>
      <c r="AC10" s="32">
        <v>18</v>
      </c>
      <c r="AD10" s="40">
        <v>0</v>
      </c>
      <c r="AE10" s="30">
        <f t="shared" si="8"/>
        <v>2</v>
      </c>
      <c r="AF10" s="32">
        <v>5</v>
      </c>
      <c r="AG10" s="40">
        <v>3</v>
      </c>
      <c r="AH10" s="30">
        <f t="shared" si="9"/>
        <v>3</v>
      </c>
      <c r="AI10" s="32">
        <v>76</v>
      </c>
      <c r="AJ10" s="40">
        <v>3</v>
      </c>
      <c r="AK10" s="30">
        <f t="shared" si="10"/>
        <v>3</v>
      </c>
      <c r="AL10" s="32"/>
      <c r="AM10" s="40"/>
      <c r="AN10" s="30" t="str">
        <f t="shared" si="11"/>
        <v/>
      </c>
      <c r="AO10" s="32">
        <v>4</v>
      </c>
      <c r="AP10" s="40">
        <v>4</v>
      </c>
      <c r="AQ10" s="30">
        <f t="shared" si="12"/>
        <v>3</v>
      </c>
      <c r="AR10" s="32">
        <v>3</v>
      </c>
      <c r="AS10" s="40">
        <v>3</v>
      </c>
      <c r="AT10" s="30">
        <f t="shared" si="13"/>
        <v>3</v>
      </c>
      <c r="AU10" s="40">
        <f t="shared" si="14"/>
        <v>13</v>
      </c>
      <c r="AV10" s="30">
        <f t="shared" si="15"/>
        <v>3</v>
      </c>
      <c r="AW10" s="40">
        <f t="shared" si="16"/>
        <v>30</v>
      </c>
      <c r="AX10" s="41"/>
      <c r="AY10" s="32" t="s">
        <v>119</v>
      </c>
      <c r="AZ10" s="32">
        <v>10.58</v>
      </c>
      <c r="BA10" s="40">
        <v>0</v>
      </c>
      <c r="BB10" s="30">
        <v>2</v>
      </c>
      <c r="BC10" s="32">
        <v>24.39</v>
      </c>
      <c r="BD10" s="40">
        <v>0</v>
      </c>
      <c r="BE10" s="30">
        <f>IF(BC10=0,"",IF(BC10&gt;15,2,IF(AND(BC10&lt;=15,BC10&gt;14.3),3,IF(AND(BC10&lt;=14.3,BC10&gt;14),4,IF(AND(BC10&lt;=14),5)))))</f>
        <v>2</v>
      </c>
      <c r="BF10" s="32">
        <v>20</v>
      </c>
      <c r="BG10" s="40">
        <v>20</v>
      </c>
      <c r="BH10" s="30">
        <f t="shared" si="17"/>
        <v>5</v>
      </c>
      <c r="BI10" s="32">
        <v>14.700000000000001</v>
      </c>
      <c r="BJ10" s="40">
        <v>4</v>
      </c>
      <c r="BK10" s="30">
        <f t="shared" si="18"/>
        <v>3</v>
      </c>
      <c r="BL10" s="32">
        <v>6</v>
      </c>
      <c r="BM10" s="40">
        <v>13</v>
      </c>
      <c r="BN10" s="30">
        <f t="shared" si="19"/>
        <v>5</v>
      </c>
      <c r="BO10" s="40">
        <f t="shared" si="20"/>
        <v>37</v>
      </c>
      <c r="BP10" s="30">
        <f t="shared" si="21"/>
        <v>4</v>
      </c>
      <c r="BQ10" s="40">
        <f t="shared" si="22"/>
        <v>67</v>
      </c>
      <c r="BR10" s="41"/>
      <c r="BS10" s="32">
        <v>10.6</v>
      </c>
      <c r="BT10" s="40">
        <v>5</v>
      </c>
      <c r="BU10" s="30">
        <f t="shared" si="23"/>
        <v>3</v>
      </c>
      <c r="BV10" s="32">
        <v>11</v>
      </c>
      <c r="BW10" s="40">
        <v>0</v>
      </c>
      <c r="BX10" s="30">
        <f t="shared" si="24"/>
        <v>2</v>
      </c>
      <c r="BY10" s="32">
        <v>21</v>
      </c>
      <c r="BZ10" s="40">
        <v>1</v>
      </c>
      <c r="CA10" s="30">
        <f t="shared" si="25"/>
        <v>3</v>
      </c>
      <c r="CB10" s="32">
        <v>1</v>
      </c>
      <c r="CC10" s="40">
        <v>0</v>
      </c>
      <c r="CD10" s="30">
        <f t="shared" si="26"/>
        <v>2</v>
      </c>
      <c r="CE10" s="40">
        <f t="shared" si="27"/>
        <v>6</v>
      </c>
      <c r="CF10" s="30">
        <f t="shared" si="28"/>
        <v>3</v>
      </c>
      <c r="CG10" s="40">
        <f t="shared" si="29"/>
        <v>73</v>
      </c>
      <c r="CH10" s="141"/>
      <c r="CI10" s="32" t="s">
        <v>119</v>
      </c>
    </row>
    <row r="11" spans="1:87">
      <c r="A11" s="3"/>
      <c r="B11" s="32" t="s">
        <v>121</v>
      </c>
      <c r="C11" s="48">
        <v>35272</v>
      </c>
      <c r="D11" s="113" t="s">
        <v>19</v>
      </c>
      <c r="E11" s="32">
        <v>164</v>
      </c>
      <c r="F11" s="32">
        <v>80</v>
      </c>
      <c r="G11" s="32">
        <v>90</v>
      </c>
      <c r="H11" s="32">
        <v>1.1379999999999999</v>
      </c>
      <c r="I11" s="44">
        <f t="shared" si="0"/>
        <v>29.744199881023206</v>
      </c>
      <c r="J11" s="43" t="s">
        <v>21</v>
      </c>
      <c r="K11" s="32">
        <f t="shared" si="1"/>
        <v>67.252489748096082</v>
      </c>
      <c r="L11" s="32" t="s">
        <v>121</v>
      </c>
      <c r="M11" s="32">
        <v>172</v>
      </c>
      <c r="N11" s="40">
        <v>12</v>
      </c>
      <c r="O11" s="30">
        <f t="shared" si="2"/>
        <v>5</v>
      </c>
      <c r="P11" s="32">
        <v>5.5</v>
      </c>
      <c r="Q11" s="40">
        <v>8</v>
      </c>
      <c r="R11" s="30">
        <f t="shared" si="3"/>
        <v>4</v>
      </c>
      <c r="S11" s="32">
        <v>11.200000000000001</v>
      </c>
      <c r="T11" s="40">
        <v>1</v>
      </c>
      <c r="U11" s="30">
        <f t="shared" si="4"/>
        <v>3</v>
      </c>
      <c r="V11" s="32">
        <v>1100</v>
      </c>
      <c r="W11" s="40">
        <v>4</v>
      </c>
      <c r="X11" s="30">
        <f t="shared" si="5"/>
        <v>3</v>
      </c>
      <c r="Y11" s="40">
        <f t="shared" si="6"/>
        <v>25</v>
      </c>
      <c r="Z11" s="30">
        <f t="shared" si="7"/>
        <v>4</v>
      </c>
      <c r="AA11" s="41"/>
      <c r="AB11" s="32" t="s">
        <v>121</v>
      </c>
      <c r="AC11" s="32">
        <v>30</v>
      </c>
      <c r="AD11" s="40">
        <v>1</v>
      </c>
      <c r="AE11" s="30">
        <f t="shared" si="8"/>
        <v>3</v>
      </c>
      <c r="AF11" s="32">
        <v>-6</v>
      </c>
      <c r="AG11" s="40">
        <v>0</v>
      </c>
      <c r="AH11" s="30">
        <f t="shared" si="9"/>
        <v>2</v>
      </c>
      <c r="AI11" s="32">
        <v>43</v>
      </c>
      <c r="AJ11" s="40">
        <v>0</v>
      </c>
      <c r="AK11" s="30">
        <f t="shared" si="10"/>
        <v>2</v>
      </c>
      <c r="AL11" s="32">
        <v>-1</v>
      </c>
      <c r="AM11" s="40">
        <v>0</v>
      </c>
      <c r="AN11" s="30">
        <f t="shared" si="11"/>
        <v>2</v>
      </c>
      <c r="AO11" s="32">
        <v>6</v>
      </c>
      <c r="AP11" s="40">
        <v>6</v>
      </c>
      <c r="AQ11" s="30">
        <f t="shared" si="12"/>
        <v>4</v>
      </c>
      <c r="AR11" s="32">
        <v>10</v>
      </c>
      <c r="AS11" s="40">
        <v>10</v>
      </c>
      <c r="AT11" s="30">
        <f t="shared" si="13"/>
        <v>5</v>
      </c>
      <c r="AU11" s="40">
        <f t="shared" si="14"/>
        <v>17</v>
      </c>
      <c r="AV11" s="30">
        <f t="shared" si="15"/>
        <v>3</v>
      </c>
      <c r="AW11" s="40">
        <f t="shared" si="16"/>
        <v>42</v>
      </c>
      <c r="AX11" s="41"/>
      <c r="AY11" s="32" t="s">
        <v>121</v>
      </c>
      <c r="AZ11" s="32"/>
      <c r="BA11" s="40"/>
      <c r="BB11" s="30"/>
      <c r="BC11" s="32"/>
      <c r="BD11" s="40"/>
      <c r="BE11" s="30" t="str">
        <f>IF(BC11=0,"",IF(BC11&gt;15,2,IF(AND(BC11&lt;=15,BC11&gt;14.3),3,IF(AND(BC11&lt;=14.3,BC11&gt;14),4,IF(AND(BC11&lt;=14),5)))))</f>
        <v/>
      </c>
      <c r="BF11" s="32">
        <v>3</v>
      </c>
      <c r="BG11" s="40">
        <v>0</v>
      </c>
      <c r="BH11" s="30">
        <f t="shared" si="17"/>
        <v>2</v>
      </c>
      <c r="BI11" s="32">
        <v>14.9</v>
      </c>
      <c r="BJ11" s="40">
        <v>4</v>
      </c>
      <c r="BK11" s="30">
        <f t="shared" si="18"/>
        <v>3</v>
      </c>
      <c r="BL11" s="32">
        <v>3</v>
      </c>
      <c r="BM11" s="40">
        <v>3</v>
      </c>
      <c r="BN11" s="30">
        <f t="shared" si="19"/>
        <v>3</v>
      </c>
      <c r="BO11" s="40">
        <f t="shared" si="20"/>
        <v>7</v>
      </c>
      <c r="BP11" s="30">
        <f t="shared" si="21"/>
        <v>3</v>
      </c>
      <c r="BQ11" s="40">
        <f t="shared" si="22"/>
        <v>49</v>
      </c>
      <c r="BR11" s="41"/>
      <c r="BS11" s="32">
        <v>11.1</v>
      </c>
      <c r="BT11" s="40">
        <v>1</v>
      </c>
      <c r="BU11" s="30">
        <f t="shared" si="23"/>
        <v>3</v>
      </c>
      <c r="BV11" s="32">
        <v>10.59</v>
      </c>
      <c r="BW11" s="40">
        <v>0</v>
      </c>
      <c r="BX11" s="30">
        <f t="shared" si="24"/>
        <v>2</v>
      </c>
      <c r="BY11" s="32">
        <v>26</v>
      </c>
      <c r="BZ11" s="40">
        <v>3</v>
      </c>
      <c r="CA11" s="30">
        <f t="shared" si="25"/>
        <v>3</v>
      </c>
      <c r="CB11" s="32">
        <v>1</v>
      </c>
      <c r="CC11" s="40">
        <v>0</v>
      </c>
      <c r="CD11" s="30">
        <f t="shared" si="26"/>
        <v>2</v>
      </c>
      <c r="CE11" s="40">
        <f t="shared" si="27"/>
        <v>4</v>
      </c>
      <c r="CF11" s="30">
        <f t="shared" si="28"/>
        <v>3</v>
      </c>
      <c r="CG11" s="40">
        <f t="shared" si="29"/>
        <v>53</v>
      </c>
      <c r="CH11" s="141"/>
      <c r="CI11" s="32" t="s">
        <v>121</v>
      </c>
    </row>
    <row r="12" spans="1:87">
      <c r="A12" s="8"/>
      <c r="B12" s="114"/>
      <c r="C12" s="115"/>
      <c r="D12" s="64"/>
      <c r="E12" s="63"/>
      <c r="F12" s="63"/>
      <c r="G12" s="63"/>
      <c r="H12" s="63"/>
      <c r="I12" s="63"/>
      <c r="J12" s="63"/>
      <c r="K12" s="63"/>
      <c r="L12" s="114"/>
      <c r="M12" s="105"/>
      <c r="N12" s="116"/>
      <c r="O12" s="117"/>
      <c r="P12" s="105"/>
      <c r="Q12" s="116"/>
      <c r="R12" s="117"/>
      <c r="S12" s="105"/>
      <c r="T12" s="116"/>
      <c r="U12" s="117"/>
      <c r="V12" s="105"/>
      <c r="W12" s="116"/>
      <c r="X12" s="117"/>
      <c r="Y12" s="116"/>
      <c r="Z12" s="117"/>
      <c r="AA12" s="117"/>
      <c r="AB12" s="114"/>
      <c r="AC12" s="87"/>
      <c r="AD12" s="118"/>
      <c r="AE12" s="119"/>
      <c r="AF12" s="63"/>
      <c r="AG12" s="118"/>
      <c r="AH12" s="119"/>
      <c r="AI12" s="63"/>
      <c r="AJ12" s="118"/>
      <c r="AK12" s="119"/>
      <c r="AL12" s="63"/>
      <c r="AM12" s="118"/>
      <c r="AN12" s="119"/>
      <c r="AO12" s="63"/>
      <c r="AP12" s="118"/>
      <c r="AQ12" s="119"/>
      <c r="AR12" s="63"/>
      <c r="AS12" s="118"/>
      <c r="AT12" s="119"/>
      <c r="AU12" s="118"/>
      <c r="AV12" s="119"/>
      <c r="AW12" s="118"/>
      <c r="AX12" s="118"/>
      <c r="AY12" s="114"/>
      <c r="BA12" s="120"/>
      <c r="BB12" s="121"/>
      <c r="BD12" s="120"/>
      <c r="BE12" s="121"/>
      <c r="BG12" s="120"/>
      <c r="BH12" s="121"/>
      <c r="BJ12" s="120"/>
      <c r="BK12" s="121"/>
      <c r="BM12" s="120"/>
      <c r="BN12" s="121"/>
      <c r="BO12" s="120"/>
      <c r="BP12" s="121"/>
      <c r="BQ12" s="122"/>
      <c r="BR12" s="232"/>
      <c r="BT12" s="120"/>
      <c r="BU12" s="121"/>
      <c r="BW12" s="120"/>
      <c r="BX12" s="121"/>
      <c r="BZ12" s="120"/>
      <c r="CA12" s="121"/>
      <c r="CC12" s="120"/>
      <c r="CD12" s="121"/>
      <c r="CE12" s="120"/>
      <c r="CF12" s="121"/>
      <c r="CG12" s="120"/>
      <c r="CH12" s="120"/>
      <c r="CI12" s="114"/>
    </row>
    <row r="13" spans="1:87">
      <c r="A13" s="3"/>
      <c r="B13" s="3" t="s">
        <v>122</v>
      </c>
      <c r="C13" s="49">
        <v>35428</v>
      </c>
      <c r="D13" s="113" t="s">
        <v>19</v>
      </c>
      <c r="E13" s="32">
        <v>143</v>
      </c>
      <c r="F13" s="32">
        <v>40</v>
      </c>
      <c r="G13" s="92">
        <v>65</v>
      </c>
      <c r="H13" s="32">
        <v>1.145</v>
      </c>
      <c r="I13" s="44">
        <f t="shared" ref="I13:I22" si="30">F13/(E13/100)^2</f>
        <v>19.560858721697887</v>
      </c>
      <c r="J13" s="43" t="s">
        <v>26</v>
      </c>
      <c r="K13" s="32">
        <f t="shared" ref="K13:K22" si="31">((E13-F13)*E13)/(H13*2*G13)</f>
        <v>98.951965065502193</v>
      </c>
      <c r="L13" s="3" t="s">
        <v>122</v>
      </c>
      <c r="M13" s="32">
        <v>156</v>
      </c>
      <c r="N13" s="40">
        <v>11</v>
      </c>
      <c r="O13" s="30">
        <f t="shared" ref="O13:O22" si="32">IF(M13=0,"",IF(M13&lt;140,2,IF(AND(M13&gt;=140,M13&lt;148),3,IF(AND(M13&gt;=148,M13&lt;155),4,IF(AND(M13&gt;=155),5)))))</f>
        <v>5</v>
      </c>
      <c r="P13" s="32">
        <v>5.0999999999999996</v>
      </c>
      <c r="Q13" s="40">
        <v>19</v>
      </c>
      <c r="R13" s="30">
        <f t="shared" ref="R13:R22" si="33">IF(P13=0,"",IF(P13&gt;6.2,2,IF(AND(P13&lt;=6.2,P13&gt;6),3,IF(AND(P13&lt;=6,P13&gt;5.6),4,IF(AND(P13&lt;=5.6),5)))))</f>
        <v>5</v>
      </c>
      <c r="S13" s="32">
        <v>10.9</v>
      </c>
      <c r="T13" s="40">
        <v>12</v>
      </c>
      <c r="U13" s="30">
        <f t="shared" ref="U13:U22" si="34">IF(S13=0,"",IF(S13&gt;12,2,IF(AND(S13&lt;=12,S13&gt;11.6),3,IF(AND(S13&lt;=11.6,S13&gt;11),4,IF(AND(S13&lt;=11),5)))))</f>
        <v>5</v>
      </c>
      <c r="V13" s="32">
        <v>1430</v>
      </c>
      <c r="W13" s="40">
        <v>20</v>
      </c>
      <c r="X13" s="30">
        <f t="shared" ref="X13:X22" si="35">IF(V13=0,"",IF(V13&lt;920,2,IF(AND(V13&gt;=920,V13&lt;1100),3,IF(AND(V13&gt;=1100,V13&lt;1200),4,IF(AND(V13&gt;=1200),5)))))</f>
        <v>5</v>
      </c>
      <c r="Y13" s="40">
        <f t="shared" ref="Y13:Y22" si="36">SUM(N13,Q13,T13,W13)</f>
        <v>62</v>
      </c>
      <c r="Z13" s="30">
        <f t="shared" ref="Z13:Z22" si="37">IF(Y13=0,"",IF(Y13&lt;4,2,IF(AND(Y13&gt;=4,Y13&lt;16),3,IF(AND(Y13&gt;=16,Y13&lt;30),4,IF(AND(Y13&gt;=30),5)))))</f>
        <v>5</v>
      </c>
      <c r="AA13" s="223">
        <v>5</v>
      </c>
      <c r="AB13" s="3" t="s">
        <v>122</v>
      </c>
      <c r="AC13" s="32">
        <v>36</v>
      </c>
      <c r="AD13" s="40">
        <v>16</v>
      </c>
      <c r="AE13" s="30">
        <f t="shared" ref="AE13:AE22" si="38">IF(AC13=0,"",IF(AC13&lt;20,2,IF(AND(AC13&gt;=20,AC13&lt;28),3,IF(AND(AC13&gt;=28,AC13&lt;30),4,IF(AND(AC13&gt;=30),5)))))</f>
        <v>5</v>
      </c>
      <c r="AF13" s="32">
        <v>12</v>
      </c>
      <c r="AG13" s="40">
        <v>10</v>
      </c>
      <c r="AH13" s="30">
        <f t="shared" ref="AH13:AH22" si="39">IF(AF13=0,"",IF(AF13&lt;6,2,IF(AND(AF13&gt;=6,AF13&lt;9),3,IF(AND(AF13&gt;=9,AF13&lt;12),4,IF(AND(AF13&gt;=12),5)))))</f>
        <v>5</v>
      </c>
      <c r="AI13" s="32">
        <v>123</v>
      </c>
      <c r="AJ13" s="40">
        <v>14</v>
      </c>
      <c r="AK13" s="30">
        <f t="shared" ref="AK13:AK22" si="40">IF(AI13=0,"",IF(AI13&lt;40,2,IF(AND(AI13&gt;=40,AI13&lt;60),3,IF(AND(AI13&gt;=60,AI13&lt;100),4,IF(AND(AI13&gt;=100),5)))))</f>
        <v>5</v>
      </c>
      <c r="AL13" s="32">
        <v>13</v>
      </c>
      <c r="AM13" s="40">
        <v>10</v>
      </c>
      <c r="AN13" s="30">
        <f t="shared" ref="AN13:AN22" si="41">IF(AL13=0,"",IF(AL13&lt;7,2,IF(AND(AL13&gt;=7,AL13&lt;10),3,IF(AND(AL13&gt;=10,AL13&lt;13),4,IF(AND(AL13&gt;=13),5)))))</f>
        <v>5</v>
      </c>
      <c r="AO13" s="32">
        <v>20</v>
      </c>
      <c r="AP13" s="40">
        <v>20</v>
      </c>
      <c r="AQ13" s="30">
        <f t="shared" ref="AQ13:AQ22" si="42">IF(AO13=0,"",IF(AO13&lt;1,2,IF(AND(AO13&gt;=1,AO13&lt;5),3,IF(AND(AO13&gt;=5,AO13&lt;10),4,IF(AND(AO13&gt;=10),5)))))</f>
        <v>5</v>
      </c>
      <c r="AR13" s="32">
        <v>10</v>
      </c>
      <c r="AS13" s="40">
        <v>10</v>
      </c>
      <c r="AT13" s="30">
        <f t="shared" ref="AT13:AT22" si="43">IF(AR13=0,"",IF(AR13&lt;1,2,IF(AND(AR13&gt;=1,AR13&lt;5),3,IF(AND(AR13&gt;=5,AR13&lt;10),4,IF(AND(AR13&gt;=10),5)))))</f>
        <v>5</v>
      </c>
      <c r="AU13" s="40">
        <f t="shared" ref="AU13:AU22" si="44">SUM(AD13,AG13,AJ13,AM13,AP13,AS13)</f>
        <v>80</v>
      </c>
      <c r="AV13" s="30">
        <f t="shared" ref="AV13:AV22" si="45">IF(AU13=0,"",IF(AU13&lt;6,2,IF(AND(AU13&gt;=6,AU13&lt;20),3,IF(AND(AU13&gt;=20,AU13&lt;46),4,IF(AND(AU13&gt;=46),5)))))</f>
        <v>5</v>
      </c>
      <c r="AW13" s="40">
        <f t="shared" ref="AW13:AW22" si="46">SUM(Y13,AU13)</f>
        <v>142</v>
      </c>
      <c r="AX13" s="223">
        <v>5</v>
      </c>
      <c r="AY13" s="3" t="s">
        <v>122</v>
      </c>
      <c r="AZ13" s="32">
        <v>10.18</v>
      </c>
      <c r="BA13" s="40">
        <v>5</v>
      </c>
      <c r="BB13" s="30">
        <v>4</v>
      </c>
      <c r="BC13" s="32">
        <v>25.03</v>
      </c>
      <c r="BD13" s="40">
        <v>5</v>
      </c>
      <c r="BE13" s="30">
        <v>4</v>
      </c>
      <c r="BF13" s="32">
        <v>20</v>
      </c>
      <c r="BG13" s="40">
        <v>20</v>
      </c>
      <c r="BH13" s="30">
        <f t="shared" ref="BH13:BH22" si="47">IF(BF13=0,"",IF(BF13&lt;6,2,IF(AND(BF13&gt;=6,BF13&lt;8),3,IF(AND(BF13&gt;=8,BF13&lt;10),4,IF(AND(BF13&gt;=10),5)))))</f>
        <v>5</v>
      </c>
      <c r="BI13" s="32">
        <v>13.5</v>
      </c>
      <c r="BJ13" s="40">
        <v>16</v>
      </c>
      <c r="BK13" s="30">
        <f t="shared" ref="BK13:BK22" si="48">IF(BI13=0,"",IF(BI13&gt;17.8,2,IF(AND(BI13&lt;=17.8,BI13&gt;16.4),3,IF(AND(BI13&lt;=16.4,BI13&gt;15.2),4,IF(AND(BI13&lt;=15.2),5)))))</f>
        <v>5</v>
      </c>
      <c r="BL13" s="32">
        <v>7</v>
      </c>
      <c r="BM13" s="40">
        <v>16</v>
      </c>
      <c r="BN13" s="30">
        <f t="shared" ref="BN13:BN22" si="49">IF(BL13=0,"",IF(BL13&lt;1,2,IF(AND(BL13&gt;=1,BL13&lt;3),3,IF(AND(BL13&gt;=3,BL13&lt;4),4,IF(AND(BL13&gt;=4),5)))))</f>
        <v>5</v>
      </c>
      <c r="BO13" s="40">
        <f t="shared" ref="BO13:BO22" si="50">SUM(BA13,BD13,BG13,BJ13,BM13)</f>
        <v>62</v>
      </c>
      <c r="BP13" s="30">
        <f t="shared" ref="BP13:BP22" si="51">IF(BO13=0,"",IF(BO13&lt;5,2,IF(AND(BO13&gt;=5,BO13&lt;17),3,IF(AND(BO13&gt;=17,BO13&lt;40),4,IF(AND(BO13&gt;=40),5)))))</f>
        <v>5</v>
      </c>
      <c r="BQ13" s="40">
        <f t="shared" ref="BQ13:BQ22" si="52">SUM(AW13,BO13)</f>
        <v>204</v>
      </c>
      <c r="BR13" s="141"/>
      <c r="BS13" s="32">
        <v>9.6</v>
      </c>
      <c r="BT13" s="40">
        <v>18</v>
      </c>
      <c r="BU13" s="30">
        <f t="shared" ref="BU13:BU22" si="53">IF(BS13=0,"",IF(BS13&gt;11.2,2,IF(AND(BS13&lt;=11.2,BS13&gt;10.6),3,IF(AND(BS13&lt;=10.6,BS13&gt;10.3),4,IF(AND(BS13&lt;=10.3),5)))))</f>
        <v>5</v>
      </c>
      <c r="BV13" s="32">
        <v>8.3000000000000007</v>
      </c>
      <c r="BW13" s="40">
        <v>3</v>
      </c>
      <c r="BX13" s="30">
        <f t="shared" ref="BX13:BX22" si="54">IF(BV13=0,"",IF(BV13&gt;8.4,2,IF(AND(BV13&lt;=8.4,BV13&gt;8.2),3,IF(AND(BV13&lt;=8.2,BV13&gt;8),4,IF(AND(BV13&lt;=8),5)))))</f>
        <v>3</v>
      </c>
      <c r="BY13" s="32">
        <v>25</v>
      </c>
      <c r="BZ13" s="40">
        <v>13</v>
      </c>
      <c r="CA13" s="30">
        <f t="shared" ref="CA13:CA22" si="55">IF(BY13=0,"",IF(BY13&lt;15,2,IF(AND(BY13&gt;=15,BY13&lt;18),3,IF(AND(BY13&gt;=18,BY13&lt;23),4,IF(AND(BY13&gt;=23),5)))))</f>
        <v>5</v>
      </c>
      <c r="CB13" s="32">
        <v>9</v>
      </c>
      <c r="CC13" s="40">
        <v>20</v>
      </c>
      <c r="CD13" s="30">
        <f t="shared" ref="CD13:CD22" si="56">IF(CB13=0,"",IF(CB13&lt;2,2,IF(AND(CB13&gt;=2,CB13&lt;4),3,IF(AND(CB13&gt;=4,CB13&lt;6),4,IF(AND(CB13&gt;=6),5)))))</f>
        <v>5</v>
      </c>
      <c r="CE13" s="40">
        <f t="shared" ref="CE13:CE22" si="57">SUM(BT13,BW13,BZ13,CC13)</f>
        <v>54</v>
      </c>
      <c r="CF13" s="30">
        <f t="shared" ref="CF13:CF22" si="58">IF(CE13=0,"",IF(CE13&lt;4,2,IF(AND(CE13&gt;=4,CE13&lt;16),3,IF(AND(CE13&gt;=16,CE13&lt;30),4,IF(AND(CE13&gt;=30),5)))))</f>
        <v>5</v>
      </c>
      <c r="CG13" s="40">
        <f t="shared" ref="CG13:CG22" si="59">SUM(BQ13,CE13)</f>
        <v>258</v>
      </c>
      <c r="CH13" s="141"/>
      <c r="CI13" s="3" t="s">
        <v>122</v>
      </c>
    </row>
    <row r="14" spans="1:87">
      <c r="A14" s="3"/>
      <c r="B14" s="32" t="s">
        <v>123</v>
      </c>
      <c r="C14" s="48">
        <v>35317</v>
      </c>
      <c r="D14" s="113" t="s">
        <v>19</v>
      </c>
      <c r="E14" s="32">
        <v>139</v>
      </c>
      <c r="F14" s="32">
        <v>30</v>
      </c>
      <c r="G14" s="32">
        <v>60</v>
      </c>
      <c r="H14" s="32">
        <v>1.145</v>
      </c>
      <c r="I14" s="44">
        <f t="shared" si="30"/>
        <v>15.527146628021326</v>
      </c>
      <c r="J14" s="43" t="s">
        <v>82</v>
      </c>
      <c r="K14" s="32">
        <f t="shared" si="31"/>
        <v>110.26928675400291</v>
      </c>
      <c r="L14" s="32" t="s">
        <v>123</v>
      </c>
      <c r="M14" s="32">
        <v>180</v>
      </c>
      <c r="N14" s="40">
        <v>20</v>
      </c>
      <c r="O14" s="30">
        <f t="shared" si="32"/>
        <v>5</v>
      </c>
      <c r="P14" s="32">
        <v>4.7</v>
      </c>
      <c r="Q14" s="40">
        <v>20</v>
      </c>
      <c r="R14" s="30">
        <f t="shared" si="33"/>
        <v>5</v>
      </c>
      <c r="S14" s="32">
        <v>10.5</v>
      </c>
      <c r="T14" s="40">
        <v>20</v>
      </c>
      <c r="U14" s="30">
        <f t="shared" si="34"/>
        <v>5</v>
      </c>
      <c r="V14" s="32">
        <v>950</v>
      </c>
      <c r="W14" s="40">
        <v>1</v>
      </c>
      <c r="X14" s="30">
        <f t="shared" si="35"/>
        <v>3</v>
      </c>
      <c r="Y14" s="40">
        <f t="shared" si="36"/>
        <v>61</v>
      </c>
      <c r="Z14" s="30">
        <f t="shared" si="37"/>
        <v>5</v>
      </c>
      <c r="AA14" s="41"/>
      <c r="AB14" s="32" t="s">
        <v>123</v>
      </c>
      <c r="AC14" s="32">
        <v>36</v>
      </c>
      <c r="AD14" s="40">
        <v>16</v>
      </c>
      <c r="AE14" s="30">
        <f t="shared" si="38"/>
        <v>5</v>
      </c>
      <c r="AF14" s="32">
        <v>14</v>
      </c>
      <c r="AG14" s="40">
        <v>17</v>
      </c>
      <c r="AH14" s="30">
        <f t="shared" si="39"/>
        <v>5</v>
      </c>
      <c r="AI14" s="32">
        <v>108</v>
      </c>
      <c r="AJ14" s="40">
        <v>11</v>
      </c>
      <c r="AK14" s="30">
        <f t="shared" si="40"/>
        <v>5</v>
      </c>
      <c r="AL14" s="32">
        <v>20</v>
      </c>
      <c r="AM14" s="40">
        <v>20</v>
      </c>
      <c r="AN14" s="30">
        <f t="shared" si="41"/>
        <v>5</v>
      </c>
      <c r="AO14" s="32">
        <v>20</v>
      </c>
      <c r="AP14" s="40">
        <v>20</v>
      </c>
      <c r="AQ14" s="30">
        <f t="shared" si="42"/>
        <v>5</v>
      </c>
      <c r="AR14" s="32">
        <v>10</v>
      </c>
      <c r="AS14" s="40">
        <v>10</v>
      </c>
      <c r="AT14" s="30">
        <f t="shared" si="43"/>
        <v>5</v>
      </c>
      <c r="AU14" s="40">
        <f t="shared" si="44"/>
        <v>94</v>
      </c>
      <c r="AV14" s="30">
        <f t="shared" si="45"/>
        <v>5</v>
      </c>
      <c r="AW14" s="40">
        <f t="shared" si="46"/>
        <v>155</v>
      </c>
      <c r="AX14" s="223">
        <v>5</v>
      </c>
      <c r="AY14" s="32" t="s">
        <v>123</v>
      </c>
      <c r="AZ14" s="32"/>
      <c r="BA14" s="40"/>
      <c r="BB14" s="30"/>
      <c r="BC14" s="32"/>
      <c r="BD14" s="40"/>
      <c r="BE14" s="30" t="str">
        <f>IF(BC14=0,"",IF(BC14&gt;15.3,2,IF(AND(BC14&lt;=15.3,BC14&gt;15),3,IF(AND(BC14&lt;=15,BC14&gt;14.3),4,IF(AND(BC14&lt;=14.3),5)))))</f>
        <v/>
      </c>
      <c r="BF14" s="32">
        <v>20</v>
      </c>
      <c r="BG14" s="40">
        <v>20</v>
      </c>
      <c r="BH14" s="30">
        <f t="shared" si="47"/>
        <v>5</v>
      </c>
      <c r="BI14" s="32">
        <v>14.1</v>
      </c>
      <c r="BJ14" s="40">
        <v>13</v>
      </c>
      <c r="BK14" s="30">
        <f t="shared" si="48"/>
        <v>5</v>
      </c>
      <c r="BL14" s="32">
        <v>3</v>
      </c>
      <c r="BM14" s="40">
        <v>5</v>
      </c>
      <c r="BN14" s="30">
        <f t="shared" si="49"/>
        <v>4</v>
      </c>
      <c r="BO14" s="40">
        <f t="shared" si="50"/>
        <v>38</v>
      </c>
      <c r="BP14" s="30">
        <f t="shared" si="51"/>
        <v>4</v>
      </c>
      <c r="BQ14" s="40">
        <f t="shared" si="52"/>
        <v>193</v>
      </c>
      <c r="BR14" s="41"/>
      <c r="BS14" s="32">
        <v>9.1</v>
      </c>
      <c r="BT14" s="40">
        <v>20</v>
      </c>
      <c r="BU14" s="30">
        <f t="shared" si="53"/>
        <v>5</v>
      </c>
      <c r="BV14" s="32">
        <v>8.33</v>
      </c>
      <c r="BW14" s="40">
        <v>2</v>
      </c>
      <c r="BX14" s="30">
        <f t="shared" si="54"/>
        <v>3</v>
      </c>
      <c r="BY14" s="32">
        <v>30</v>
      </c>
      <c r="BZ14" s="40">
        <v>18</v>
      </c>
      <c r="CA14" s="30">
        <f t="shared" si="55"/>
        <v>5</v>
      </c>
      <c r="CB14" s="32">
        <v>9</v>
      </c>
      <c r="CC14" s="40">
        <v>20</v>
      </c>
      <c r="CD14" s="30">
        <f t="shared" si="56"/>
        <v>5</v>
      </c>
      <c r="CE14" s="40">
        <f t="shared" si="57"/>
        <v>60</v>
      </c>
      <c r="CF14" s="30">
        <f t="shared" si="58"/>
        <v>5</v>
      </c>
      <c r="CG14" s="40">
        <f t="shared" si="59"/>
        <v>253</v>
      </c>
      <c r="CH14" s="141"/>
      <c r="CI14" s="32" t="s">
        <v>123</v>
      </c>
    </row>
    <row r="15" spans="1:87">
      <c r="A15" s="3"/>
      <c r="B15" s="32" t="s">
        <v>124</v>
      </c>
      <c r="C15" s="48">
        <v>35415</v>
      </c>
      <c r="D15" s="113" t="s">
        <v>19</v>
      </c>
      <c r="E15" s="32">
        <v>161</v>
      </c>
      <c r="F15" s="32">
        <v>50</v>
      </c>
      <c r="G15" s="32">
        <v>68</v>
      </c>
      <c r="H15" s="32">
        <v>1.145</v>
      </c>
      <c r="I15" s="44">
        <f t="shared" si="30"/>
        <v>19.289379267775161</v>
      </c>
      <c r="J15" s="43" t="s">
        <v>26</v>
      </c>
      <c r="K15" s="32">
        <f t="shared" si="31"/>
        <v>114.76367839712304</v>
      </c>
      <c r="L15" s="32" t="s">
        <v>124</v>
      </c>
      <c r="M15" s="32">
        <v>180</v>
      </c>
      <c r="N15" s="40">
        <v>20</v>
      </c>
      <c r="O15" s="30">
        <f t="shared" si="32"/>
        <v>5</v>
      </c>
      <c r="P15" s="32">
        <v>4.7</v>
      </c>
      <c r="Q15" s="40">
        <v>20</v>
      </c>
      <c r="R15" s="30">
        <f t="shared" si="33"/>
        <v>5</v>
      </c>
      <c r="S15" s="32">
        <v>10.5</v>
      </c>
      <c r="T15" s="40">
        <v>20</v>
      </c>
      <c r="U15" s="30">
        <f t="shared" si="34"/>
        <v>5</v>
      </c>
      <c r="V15" s="32">
        <v>1330</v>
      </c>
      <c r="W15" s="40">
        <v>20</v>
      </c>
      <c r="X15" s="30">
        <f t="shared" si="35"/>
        <v>5</v>
      </c>
      <c r="Y15" s="40">
        <f t="shared" si="36"/>
        <v>80</v>
      </c>
      <c r="Z15" s="30">
        <f t="shared" si="37"/>
        <v>5</v>
      </c>
      <c r="AA15" s="223">
        <v>5</v>
      </c>
      <c r="AB15" s="32" t="s">
        <v>124</v>
      </c>
      <c r="AC15" s="32">
        <v>41</v>
      </c>
      <c r="AD15" s="40">
        <v>20</v>
      </c>
      <c r="AE15" s="30">
        <f t="shared" si="38"/>
        <v>5</v>
      </c>
      <c r="AF15" s="32">
        <v>4</v>
      </c>
      <c r="AG15" s="40">
        <v>0</v>
      </c>
      <c r="AH15" s="30">
        <f t="shared" si="39"/>
        <v>2</v>
      </c>
      <c r="AI15" s="32">
        <v>91</v>
      </c>
      <c r="AJ15" s="40">
        <v>8</v>
      </c>
      <c r="AK15" s="30">
        <f t="shared" si="40"/>
        <v>4</v>
      </c>
      <c r="AL15" s="32">
        <v>17</v>
      </c>
      <c r="AM15" s="40">
        <v>18</v>
      </c>
      <c r="AN15" s="30">
        <f t="shared" si="41"/>
        <v>5</v>
      </c>
      <c r="AO15" s="32">
        <v>15</v>
      </c>
      <c r="AP15" s="40">
        <v>15</v>
      </c>
      <c r="AQ15" s="30">
        <f t="shared" si="42"/>
        <v>5</v>
      </c>
      <c r="AR15" s="32">
        <v>10</v>
      </c>
      <c r="AS15" s="40">
        <v>10</v>
      </c>
      <c r="AT15" s="30">
        <f t="shared" si="43"/>
        <v>5</v>
      </c>
      <c r="AU15" s="40">
        <f t="shared" si="44"/>
        <v>71</v>
      </c>
      <c r="AV15" s="30">
        <f t="shared" si="45"/>
        <v>5</v>
      </c>
      <c r="AW15" s="40">
        <f t="shared" si="46"/>
        <v>151</v>
      </c>
      <c r="AX15" s="41"/>
      <c r="AY15" s="32" t="s">
        <v>124</v>
      </c>
      <c r="AZ15" s="32"/>
      <c r="BA15" s="40"/>
      <c r="BB15" s="30"/>
      <c r="BC15" s="32"/>
      <c r="BD15" s="40"/>
      <c r="BE15" s="30" t="str">
        <f>IF(BC15=0,"",IF(BC15&gt;15.3,2,IF(AND(BC15&lt;=15.3,BC15&gt;15),3,IF(AND(BC15&lt;=15,BC15&gt;14.3),4,IF(AND(BC15&lt;=14.3),5)))))</f>
        <v/>
      </c>
      <c r="BF15" s="32">
        <v>12</v>
      </c>
      <c r="BG15" s="40">
        <v>12</v>
      </c>
      <c r="BH15" s="30">
        <f t="shared" si="47"/>
        <v>5</v>
      </c>
      <c r="BI15" s="32">
        <v>12.4</v>
      </c>
      <c r="BJ15" s="40">
        <v>20</v>
      </c>
      <c r="BK15" s="30">
        <f t="shared" si="48"/>
        <v>5</v>
      </c>
      <c r="BL15" s="32">
        <v>5</v>
      </c>
      <c r="BM15" s="40">
        <v>12</v>
      </c>
      <c r="BN15" s="30">
        <f t="shared" si="49"/>
        <v>5</v>
      </c>
      <c r="BO15" s="40">
        <f t="shared" si="50"/>
        <v>44</v>
      </c>
      <c r="BP15" s="30">
        <f t="shared" si="51"/>
        <v>5</v>
      </c>
      <c r="BQ15" s="40">
        <f t="shared" si="52"/>
        <v>195</v>
      </c>
      <c r="BR15" s="41"/>
      <c r="BS15" s="32">
        <v>9.8000000000000007</v>
      </c>
      <c r="BT15" s="40">
        <v>16</v>
      </c>
      <c r="BU15" s="30">
        <f t="shared" si="53"/>
        <v>5</v>
      </c>
      <c r="BV15" s="32">
        <v>9.23</v>
      </c>
      <c r="BW15" s="40">
        <v>0</v>
      </c>
      <c r="BX15" s="30">
        <f t="shared" si="54"/>
        <v>2</v>
      </c>
      <c r="BY15" s="32">
        <v>37</v>
      </c>
      <c r="BZ15" s="40">
        <v>20</v>
      </c>
      <c r="CA15" s="30">
        <f t="shared" si="55"/>
        <v>5</v>
      </c>
      <c r="CB15" s="32">
        <v>9</v>
      </c>
      <c r="CC15" s="40">
        <v>20</v>
      </c>
      <c r="CD15" s="30">
        <f t="shared" si="56"/>
        <v>5</v>
      </c>
      <c r="CE15" s="40">
        <f t="shared" si="57"/>
        <v>56</v>
      </c>
      <c r="CF15" s="30">
        <f t="shared" si="58"/>
        <v>5</v>
      </c>
      <c r="CG15" s="40">
        <f t="shared" si="59"/>
        <v>251</v>
      </c>
      <c r="CH15" s="141"/>
      <c r="CI15" s="32" t="s">
        <v>124</v>
      </c>
    </row>
    <row r="16" spans="1:87">
      <c r="A16" s="3"/>
      <c r="B16" s="32" t="s">
        <v>125</v>
      </c>
      <c r="C16" s="48">
        <v>35237</v>
      </c>
      <c r="D16" s="113" t="s">
        <v>19</v>
      </c>
      <c r="E16" s="32">
        <v>148</v>
      </c>
      <c r="F16" s="32">
        <v>44</v>
      </c>
      <c r="G16" s="32">
        <v>68</v>
      </c>
      <c r="H16" s="32">
        <v>1.145</v>
      </c>
      <c r="I16" s="44">
        <f t="shared" si="30"/>
        <v>20.08765522279036</v>
      </c>
      <c r="J16" s="43" t="s">
        <v>24</v>
      </c>
      <c r="K16" s="32">
        <f t="shared" si="31"/>
        <v>98.844079116362707</v>
      </c>
      <c r="L16" s="32" t="s">
        <v>125</v>
      </c>
      <c r="M16" s="32">
        <v>172</v>
      </c>
      <c r="N16" s="40">
        <v>20</v>
      </c>
      <c r="O16" s="30">
        <f t="shared" si="32"/>
        <v>5</v>
      </c>
      <c r="P16" s="32">
        <v>4.8</v>
      </c>
      <c r="Q16" s="40">
        <v>20</v>
      </c>
      <c r="R16" s="30">
        <f t="shared" si="33"/>
        <v>5</v>
      </c>
      <c r="S16" s="32">
        <v>11.1</v>
      </c>
      <c r="T16" s="40">
        <v>9</v>
      </c>
      <c r="U16" s="30">
        <f t="shared" si="34"/>
        <v>4</v>
      </c>
      <c r="V16" s="32">
        <v>1400</v>
      </c>
      <c r="W16" s="40">
        <v>20</v>
      </c>
      <c r="X16" s="30">
        <f t="shared" si="35"/>
        <v>5</v>
      </c>
      <c r="Y16" s="40">
        <f t="shared" si="36"/>
        <v>69</v>
      </c>
      <c r="Z16" s="30">
        <f t="shared" si="37"/>
        <v>5</v>
      </c>
      <c r="AA16" s="41"/>
      <c r="AB16" s="32" t="s">
        <v>125</v>
      </c>
      <c r="AC16" s="32">
        <v>40</v>
      </c>
      <c r="AD16" s="40">
        <v>20</v>
      </c>
      <c r="AE16" s="30">
        <f t="shared" si="38"/>
        <v>5</v>
      </c>
      <c r="AF16" s="32">
        <v>12</v>
      </c>
      <c r="AG16" s="40">
        <v>10</v>
      </c>
      <c r="AH16" s="30">
        <f t="shared" si="39"/>
        <v>5</v>
      </c>
      <c r="AI16" s="32">
        <v>116</v>
      </c>
      <c r="AJ16" s="40">
        <v>17</v>
      </c>
      <c r="AK16" s="30">
        <f t="shared" si="40"/>
        <v>5</v>
      </c>
      <c r="AL16" s="32">
        <v>18</v>
      </c>
      <c r="AM16" s="40">
        <v>20</v>
      </c>
      <c r="AN16" s="30">
        <f t="shared" si="41"/>
        <v>5</v>
      </c>
      <c r="AO16" s="32"/>
      <c r="AP16" s="40"/>
      <c r="AQ16" s="30" t="str">
        <f t="shared" si="42"/>
        <v/>
      </c>
      <c r="AR16" s="32"/>
      <c r="AS16" s="40"/>
      <c r="AT16" s="30" t="str">
        <f t="shared" si="43"/>
        <v/>
      </c>
      <c r="AU16" s="40">
        <f t="shared" si="44"/>
        <v>67</v>
      </c>
      <c r="AV16" s="30">
        <f t="shared" si="45"/>
        <v>5</v>
      </c>
      <c r="AW16" s="40">
        <f t="shared" si="46"/>
        <v>136</v>
      </c>
      <c r="AX16" s="41"/>
      <c r="AY16" s="32" t="s">
        <v>125</v>
      </c>
      <c r="AZ16" s="32">
        <v>8.19</v>
      </c>
      <c r="BA16" s="40">
        <v>5</v>
      </c>
      <c r="BB16" s="30">
        <v>4</v>
      </c>
      <c r="BC16" s="32">
        <v>18.34</v>
      </c>
      <c r="BD16" s="40">
        <v>5</v>
      </c>
      <c r="BE16" s="30">
        <v>4</v>
      </c>
      <c r="BF16" s="32">
        <v>5</v>
      </c>
      <c r="BG16" s="40">
        <v>0</v>
      </c>
      <c r="BH16" s="30">
        <f t="shared" si="47"/>
        <v>2</v>
      </c>
      <c r="BI16" s="32">
        <v>12.3</v>
      </c>
      <c r="BJ16" s="40">
        <v>20</v>
      </c>
      <c r="BK16" s="30">
        <f t="shared" si="48"/>
        <v>5</v>
      </c>
      <c r="BL16" s="32">
        <v>7</v>
      </c>
      <c r="BM16" s="40">
        <v>16</v>
      </c>
      <c r="BN16" s="30">
        <f t="shared" si="49"/>
        <v>5</v>
      </c>
      <c r="BO16" s="40">
        <f t="shared" si="50"/>
        <v>46</v>
      </c>
      <c r="BP16" s="30">
        <f t="shared" si="51"/>
        <v>5</v>
      </c>
      <c r="BQ16" s="40">
        <f t="shared" si="52"/>
        <v>182</v>
      </c>
      <c r="BR16" s="41"/>
      <c r="BS16" s="32">
        <v>9.6</v>
      </c>
      <c r="BT16" s="40">
        <v>18</v>
      </c>
      <c r="BU16" s="30">
        <f t="shared" si="53"/>
        <v>5</v>
      </c>
      <c r="BV16" s="32">
        <v>9.11</v>
      </c>
      <c r="BW16" s="40">
        <v>0</v>
      </c>
      <c r="BX16" s="30">
        <f t="shared" si="54"/>
        <v>2</v>
      </c>
      <c r="BY16" s="32">
        <v>36</v>
      </c>
      <c r="BZ16" s="40">
        <v>20</v>
      </c>
      <c r="CA16" s="30">
        <f t="shared" si="55"/>
        <v>5</v>
      </c>
      <c r="CB16" s="32">
        <v>10</v>
      </c>
      <c r="CC16" s="40">
        <v>20</v>
      </c>
      <c r="CD16" s="30">
        <f t="shared" si="56"/>
        <v>5</v>
      </c>
      <c r="CE16" s="40">
        <f t="shared" si="57"/>
        <v>58</v>
      </c>
      <c r="CF16" s="30">
        <f t="shared" si="58"/>
        <v>5</v>
      </c>
      <c r="CG16" s="40">
        <f t="shared" si="59"/>
        <v>240</v>
      </c>
      <c r="CH16" s="141"/>
      <c r="CI16" s="32" t="s">
        <v>125</v>
      </c>
    </row>
    <row r="17" spans="1:88">
      <c r="A17" s="3"/>
      <c r="B17" s="32" t="s">
        <v>126</v>
      </c>
      <c r="C17" s="48">
        <v>35433</v>
      </c>
      <c r="D17" s="113" t="s">
        <v>19</v>
      </c>
      <c r="E17" s="45">
        <v>142</v>
      </c>
      <c r="F17" s="45">
        <v>28</v>
      </c>
      <c r="G17" s="45">
        <v>62</v>
      </c>
      <c r="H17" s="32">
        <v>1.1499999999999999</v>
      </c>
      <c r="I17" s="44">
        <f t="shared" si="30"/>
        <v>13.886133703630232</v>
      </c>
      <c r="J17" s="43" t="s">
        <v>82</v>
      </c>
      <c r="K17" s="32">
        <f t="shared" si="31"/>
        <v>113.52033660589061</v>
      </c>
      <c r="L17" s="32" t="s">
        <v>126</v>
      </c>
      <c r="M17" s="45">
        <v>161</v>
      </c>
      <c r="N17" s="66">
        <v>16</v>
      </c>
      <c r="O17" s="30">
        <f t="shared" si="32"/>
        <v>5</v>
      </c>
      <c r="P17" s="45">
        <v>5.0999999999999996</v>
      </c>
      <c r="Q17" s="66">
        <v>19</v>
      </c>
      <c r="R17" s="30">
        <f t="shared" si="33"/>
        <v>5</v>
      </c>
      <c r="S17" s="45">
        <v>10.9</v>
      </c>
      <c r="T17" s="66">
        <v>12</v>
      </c>
      <c r="U17" s="30">
        <f t="shared" si="34"/>
        <v>5</v>
      </c>
      <c r="V17" s="45">
        <v>1345</v>
      </c>
      <c r="W17" s="66">
        <v>20</v>
      </c>
      <c r="X17" s="30">
        <f t="shared" si="35"/>
        <v>5</v>
      </c>
      <c r="Y17" s="40">
        <f t="shared" si="36"/>
        <v>67</v>
      </c>
      <c r="Z17" s="30">
        <f t="shared" si="37"/>
        <v>5</v>
      </c>
      <c r="AA17" s="223">
        <v>5</v>
      </c>
      <c r="AB17" s="32" t="s">
        <v>126</v>
      </c>
      <c r="AC17" s="45">
        <v>36</v>
      </c>
      <c r="AD17" s="66">
        <v>16</v>
      </c>
      <c r="AE17" s="30">
        <f t="shared" si="38"/>
        <v>5</v>
      </c>
      <c r="AF17" s="45">
        <v>17</v>
      </c>
      <c r="AG17" s="66">
        <v>20</v>
      </c>
      <c r="AH17" s="30">
        <f t="shared" si="39"/>
        <v>5</v>
      </c>
      <c r="AI17" s="45">
        <v>101</v>
      </c>
      <c r="AJ17" s="66">
        <v>10</v>
      </c>
      <c r="AK17" s="30">
        <f t="shared" si="40"/>
        <v>5</v>
      </c>
      <c r="AL17" s="45">
        <v>13</v>
      </c>
      <c r="AM17" s="66">
        <v>10</v>
      </c>
      <c r="AN17" s="30">
        <f t="shared" si="41"/>
        <v>5</v>
      </c>
      <c r="AO17" s="45">
        <v>19</v>
      </c>
      <c r="AP17" s="66">
        <v>19</v>
      </c>
      <c r="AQ17" s="30">
        <f t="shared" si="42"/>
        <v>5</v>
      </c>
      <c r="AR17" s="45">
        <v>10</v>
      </c>
      <c r="AS17" s="66">
        <v>10</v>
      </c>
      <c r="AT17" s="30">
        <f t="shared" si="43"/>
        <v>5</v>
      </c>
      <c r="AU17" s="40">
        <f t="shared" si="44"/>
        <v>85</v>
      </c>
      <c r="AV17" s="30">
        <f t="shared" si="45"/>
        <v>5</v>
      </c>
      <c r="AW17" s="40">
        <f t="shared" si="46"/>
        <v>152</v>
      </c>
      <c r="AX17" s="223">
        <v>5</v>
      </c>
      <c r="AY17" s="32" t="s">
        <v>126</v>
      </c>
      <c r="AZ17" s="32">
        <v>15.36</v>
      </c>
      <c r="BA17" s="40">
        <v>5</v>
      </c>
      <c r="BB17" s="30">
        <v>4</v>
      </c>
      <c r="BC17" s="32">
        <v>29.13</v>
      </c>
      <c r="BD17" s="40">
        <v>5</v>
      </c>
      <c r="BE17" s="30">
        <v>4</v>
      </c>
      <c r="BF17" s="32">
        <v>6</v>
      </c>
      <c r="BG17" s="40">
        <v>1</v>
      </c>
      <c r="BH17" s="30">
        <f t="shared" si="47"/>
        <v>3</v>
      </c>
      <c r="BI17" s="32">
        <v>14.200000000000001</v>
      </c>
      <c r="BJ17" s="40">
        <v>13</v>
      </c>
      <c r="BK17" s="30">
        <f t="shared" si="48"/>
        <v>5</v>
      </c>
      <c r="BL17" s="32">
        <v>6</v>
      </c>
      <c r="BM17" s="40">
        <v>14</v>
      </c>
      <c r="BN17" s="30">
        <f t="shared" si="49"/>
        <v>5</v>
      </c>
      <c r="BO17" s="40">
        <f t="shared" si="50"/>
        <v>38</v>
      </c>
      <c r="BP17" s="30">
        <f t="shared" si="51"/>
        <v>4</v>
      </c>
      <c r="BQ17" s="40">
        <f t="shared" si="52"/>
        <v>190</v>
      </c>
      <c r="BR17" s="41"/>
      <c r="BS17" s="32">
        <v>10.3</v>
      </c>
      <c r="BT17" s="40">
        <v>10</v>
      </c>
      <c r="BU17" s="30">
        <f t="shared" si="53"/>
        <v>5</v>
      </c>
      <c r="BV17" s="32">
        <v>8.11</v>
      </c>
      <c r="BW17" s="40">
        <v>7</v>
      </c>
      <c r="BX17" s="30">
        <f t="shared" si="54"/>
        <v>4</v>
      </c>
      <c r="BY17" s="32">
        <v>16</v>
      </c>
      <c r="BZ17" s="40">
        <v>3</v>
      </c>
      <c r="CA17" s="30">
        <f t="shared" si="55"/>
        <v>3</v>
      </c>
      <c r="CB17" s="32">
        <v>9</v>
      </c>
      <c r="CC17" s="40">
        <v>20</v>
      </c>
      <c r="CD17" s="30">
        <f t="shared" si="56"/>
        <v>5</v>
      </c>
      <c r="CE17" s="40">
        <f t="shared" si="57"/>
        <v>40</v>
      </c>
      <c r="CF17" s="30">
        <f t="shared" si="58"/>
        <v>5</v>
      </c>
      <c r="CG17" s="40">
        <f t="shared" si="59"/>
        <v>230</v>
      </c>
      <c r="CH17" s="141"/>
      <c r="CI17" s="32" t="s">
        <v>126</v>
      </c>
    </row>
    <row r="18" spans="1:88">
      <c r="A18" s="3"/>
      <c r="B18" s="32" t="s">
        <v>127</v>
      </c>
      <c r="C18" s="48">
        <v>35455</v>
      </c>
      <c r="D18" s="113" t="s">
        <v>19</v>
      </c>
      <c r="E18" s="32">
        <v>139</v>
      </c>
      <c r="F18" s="32">
        <v>34</v>
      </c>
      <c r="G18" s="32">
        <v>61</v>
      </c>
      <c r="H18" s="32">
        <v>1.1499999999999999</v>
      </c>
      <c r="I18" s="44">
        <f t="shared" si="30"/>
        <v>17.597432845090836</v>
      </c>
      <c r="J18" s="43" t="s">
        <v>26</v>
      </c>
      <c r="K18" s="32">
        <f t="shared" si="31"/>
        <v>104.02708481824662</v>
      </c>
      <c r="L18" s="32" t="s">
        <v>127</v>
      </c>
      <c r="M18" s="32">
        <v>148</v>
      </c>
      <c r="N18" s="40">
        <v>5</v>
      </c>
      <c r="O18" s="30">
        <f t="shared" si="32"/>
        <v>4</v>
      </c>
      <c r="P18" s="32">
        <v>5.0999999999999996</v>
      </c>
      <c r="Q18" s="40">
        <v>19</v>
      </c>
      <c r="R18" s="30">
        <f t="shared" si="33"/>
        <v>5</v>
      </c>
      <c r="S18" s="32">
        <v>10.8</v>
      </c>
      <c r="T18" s="40">
        <v>15</v>
      </c>
      <c r="U18" s="30">
        <f t="shared" si="34"/>
        <v>5</v>
      </c>
      <c r="V18" s="32">
        <v>1200</v>
      </c>
      <c r="W18" s="40">
        <v>10</v>
      </c>
      <c r="X18" s="30">
        <f t="shared" si="35"/>
        <v>5</v>
      </c>
      <c r="Y18" s="40">
        <f t="shared" si="36"/>
        <v>49</v>
      </c>
      <c r="Z18" s="30">
        <f t="shared" si="37"/>
        <v>5</v>
      </c>
      <c r="AA18" s="41"/>
      <c r="AB18" s="32" t="s">
        <v>127</v>
      </c>
      <c r="AC18" s="34">
        <v>31</v>
      </c>
      <c r="AD18" s="101">
        <v>11</v>
      </c>
      <c r="AE18" s="30">
        <f t="shared" si="38"/>
        <v>5</v>
      </c>
      <c r="AF18" s="34">
        <v>11</v>
      </c>
      <c r="AG18" s="101">
        <v>9</v>
      </c>
      <c r="AH18" s="30">
        <f t="shared" si="39"/>
        <v>4</v>
      </c>
      <c r="AI18" s="34">
        <v>111</v>
      </c>
      <c r="AJ18" s="101">
        <v>12</v>
      </c>
      <c r="AK18" s="30">
        <f t="shared" si="40"/>
        <v>5</v>
      </c>
      <c r="AL18" s="34">
        <v>13</v>
      </c>
      <c r="AM18" s="101">
        <v>10</v>
      </c>
      <c r="AN18" s="30">
        <f t="shared" si="41"/>
        <v>5</v>
      </c>
      <c r="AO18" s="34">
        <v>14</v>
      </c>
      <c r="AP18" s="101">
        <v>14</v>
      </c>
      <c r="AQ18" s="30">
        <f t="shared" si="42"/>
        <v>5</v>
      </c>
      <c r="AR18" s="34"/>
      <c r="AS18" s="101"/>
      <c r="AT18" s="30" t="str">
        <f t="shared" si="43"/>
        <v/>
      </c>
      <c r="AU18" s="40">
        <f t="shared" si="44"/>
        <v>56</v>
      </c>
      <c r="AV18" s="30">
        <f t="shared" si="45"/>
        <v>5</v>
      </c>
      <c r="AW18" s="40">
        <f t="shared" si="46"/>
        <v>105</v>
      </c>
      <c r="AX18" s="41"/>
      <c r="AY18" s="32" t="s">
        <v>127</v>
      </c>
      <c r="AZ18" s="32">
        <v>8.24</v>
      </c>
      <c r="BA18" s="40">
        <v>5</v>
      </c>
      <c r="BB18" s="30">
        <v>4</v>
      </c>
      <c r="BC18" s="32">
        <v>17.23</v>
      </c>
      <c r="BD18" s="40">
        <v>5</v>
      </c>
      <c r="BE18" s="30">
        <v>4</v>
      </c>
      <c r="BF18" s="32">
        <v>11</v>
      </c>
      <c r="BG18" s="40">
        <v>11</v>
      </c>
      <c r="BH18" s="30">
        <f t="shared" si="47"/>
        <v>5</v>
      </c>
      <c r="BI18" s="32">
        <v>14.5</v>
      </c>
      <c r="BJ18" s="40">
        <v>12</v>
      </c>
      <c r="BK18" s="30">
        <f t="shared" si="48"/>
        <v>5</v>
      </c>
      <c r="BL18" s="32">
        <v>3</v>
      </c>
      <c r="BM18" s="40">
        <v>5</v>
      </c>
      <c r="BN18" s="30">
        <f t="shared" si="49"/>
        <v>4</v>
      </c>
      <c r="BO18" s="40">
        <f t="shared" si="50"/>
        <v>38</v>
      </c>
      <c r="BP18" s="30">
        <f t="shared" si="51"/>
        <v>4</v>
      </c>
      <c r="BQ18" s="40">
        <f t="shared" si="52"/>
        <v>143</v>
      </c>
      <c r="BR18" s="41"/>
      <c r="BS18" s="32">
        <v>9.3000000000000007</v>
      </c>
      <c r="BT18" s="40">
        <v>20</v>
      </c>
      <c r="BU18" s="30">
        <f t="shared" si="53"/>
        <v>5</v>
      </c>
      <c r="BV18" s="32">
        <v>7.41</v>
      </c>
      <c r="BW18" s="40">
        <v>19</v>
      </c>
      <c r="BX18" s="30">
        <f t="shared" si="54"/>
        <v>5</v>
      </c>
      <c r="BY18" s="32">
        <v>21</v>
      </c>
      <c r="BZ18" s="40">
        <v>8</v>
      </c>
      <c r="CA18" s="30">
        <f t="shared" si="55"/>
        <v>4</v>
      </c>
      <c r="CB18" s="32">
        <v>10</v>
      </c>
      <c r="CC18" s="40">
        <v>20</v>
      </c>
      <c r="CD18" s="30">
        <f t="shared" si="56"/>
        <v>5</v>
      </c>
      <c r="CE18" s="40">
        <f t="shared" si="57"/>
        <v>67</v>
      </c>
      <c r="CF18" s="30">
        <f t="shared" si="58"/>
        <v>5</v>
      </c>
      <c r="CG18" s="40">
        <f t="shared" si="59"/>
        <v>210</v>
      </c>
      <c r="CH18" s="141"/>
      <c r="CI18" s="32" t="s">
        <v>127</v>
      </c>
    </row>
    <row r="19" spans="1:88">
      <c r="A19" s="3"/>
      <c r="B19" s="32" t="s">
        <v>128</v>
      </c>
      <c r="C19" s="48">
        <v>35533</v>
      </c>
      <c r="D19" s="113" t="s">
        <v>19</v>
      </c>
      <c r="E19" s="32">
        <v>148</v>
      </c>
      <c r="F19" s="32">
        <v>33</v>
      </c>
      <c r="G19" s="3">
        <v>61</v>
      </c>
      <c r="H19" s="32">
        <v>1.1499999999999999</v>
      </c>
      <c r="I19" s="44">
        <f t="shared" si="30"/>
        <v>15.065741417092768</v>
      </c>
      <c r="J19" s="43" t="s">
        <v>82</v>
      </c>
      <c r="K19" s="32">
        <f t="shared" si="31"/>
        <v>121.31147540983608</v>
      </c>
      <c r="L19" s="32" t="s">
        <v>128</v>
      </c>
      <c r="M19" s="32">
        <v>147</v>
      </c>
      <c r="N19" s="40">
        <v>4</v>
      </c>
      <c r="O19" s="30">
        <f t="shared" si="32"/>
        <v>3</v>
      </c>
      <c r="P19" s="32">
        <v>5.2</v>
      </c>
      <c r="Q19" s="40">
        <v>18</v>
      </c>
      <c r="R19" s="30">
        <f t="shared" si="33"/>
        <v>5</v>
      </c>
      <c r="S19" s="32">
        <v>11.1</v>
      </c>
      <c r="T19" s="40">
        <v>9</v>
      </c>
      <c r="U19" s="30">
        <f t="shared" si="34"/>
        <v>4</v>
      </c>
      <c r="V19" s="32">
        <v>1345</v>
      </c>
      <c r="W19" s="40">
        <v>20</v>
      </c>
      <c r="X19" s="30">
        <f t="shared" si="35"/>
        <v>5</v>
      </c>
      <c r="Y19" s="40">
        <f t="shared" si="36"/>
        <v>51</v>
      </c>
      <c r="Z19" s="30">
        <f t="shared" si="37"/>
        <v>5</v>
      </c>
      <c r="AA19" s="41"/>
      <c r="AB19" s="32" t="s">
        <v>128</v>
      </c>
      <c r="AC19" s="32">
        <v>30</v>
      </c>
      <c r="AD19" s="40">
        <v>10</v>
      </c>
      <c r="AE19" s="30">
        <f t="shared" si="38"/>
        <v>5</v>
      </c>
      <c r="AF19" s="32">
        <v>5</v>
      </c>
      <c r="AG19" s="40">
        <v>0</v>
      </c>
      <c r="AH19" s="30">
        <f t="shared" si="39"/>
        <v>2</v>
      </c>
      <c r="AI19" s="32">
        <v>110</v>
      </c>
      <c r="AJ19" s="40">
        <v>12</v>
      </c>
      <c r="AK19" s="30">
        <f t="shared" si="40"/>
        <v>5</v>
      </c>
      <c r="AL19" s="32">
        <v>3</v>
      </c>
      <c r="AM19" s="40">
        <v>0</v>
      </c>
      <c r="AN19" s="30">
        <f t="shared" si="41"/>
        <v>2</v>
      </c>
      <c r="AO19" s="32">
        <v>14</v>
      </c>
      <c r="AP19" s="40">
        <v>14</v>
      </c>
      <c r="AQ19" s="30">
        <f t="shared" si="42"/>
        <v>5</v>
      </c>
      <c r="AR19" s="32">
        <v>10</v>
      </c>
      <c r="AS19" s="40">
        <v>10</v>
      </c>
      <c r="AT19" s="30">
        <f t="shared" si="43"/>
        <v>5</v>
      </c>
      <c r="AU19" s="40">
        <f t="shared" si="44"/>
        <v>46</v>
      </c>
      <c r="AV19" s="30">
        <f t="shared" si="45"/>
        <v>5</v>
      </c>
      <c r="AW19" s="40">
        <f t="shared" si="46"/>
        <v>97</v>
      </c>
      <c r="AX19" s="41"/>
      <c r="AY19" s="32" t="s">
        <v>128</v>
      </c>
      <c r="AZ19" s="32">
        <v>10.450000000000001</v>
      </c>
      <c r="BA19" s="40">
        <v>0</v>
      </c>
      <c r="BB19" s="30">
        <v>2</v>
      </c>
      <c r="BC19" s="32">
        <v>24.19</v>
      </c>
      <c r="BD19" s="40">
        <v>0</v>
      </c>
      <c r="BE19" s="30">
        <f>IF(BC19=0,"",IF(BC19&gt;15.3,2,IF(AND(BC19&lt;=15.3,BC19&gt;15),3,IF(AND(BC19&lt;=15,BC19&gt;14.3),4,IF(AND(BC19&lt;=14.3),5)))))</f>
        <v>2</v>
      </c>
      <c r="BF19" s="32">
        <v>18</v>
      </c>
      <c r="BG19" s="40">
        <v>18</v>
      </c>
      <c r="BH19" s="30">
        <f t="shared" si="47"/>
        <v>5</v>
      </c>
      <c r="BI19" s="32">
        <v>14.8</v>
      </c>
      <c r="BJ19" s="40">
        <v>11</v>
      </c>
      <c r="BK19" s="30">
        <f t="shared" si="48"/>
        <v>5</v>
      </c>
      <c r="BL19" s="32">
        <v>7</v>
      </c>
      <c r="BM19" s="40">
        <v>16</v>
      </c>
      <c r="BN19" s="30">
        <f t="shared" si="49"/>
        <v>5</v>
      </c>
      <c r="BO19" s="40">
        <f t="shared" si="50"/>
        <v>45</v>
      </c>
      <c r="BP19" s="30">
        <f t="shared" si="51"/>
        <v>5</v>
      </c>
      <c r="BQ19" s="40">
        <f t="shared" si="52"/>
        <v>142</v>
      </c>
      <c r="BR19" s="41"/>
      <c r="BS19" s="32">
        <v>10.3</v>
      </c>
      <c r="BT19" s="40">
        <v>10</v>
      </c>
      <c r="BU19" s="30">
        <f t="shared" si="53"/>
        <v>5</v>
      </c>
      <c r="BV19" s="32">
        <v>10.039999999999999</v>
      </c>
      <c r="BW19" s="40">
        <v>0</v>
      </c>
      <c r="BX19" s="30">
        <f t="shared" si="54"/>
        <v>2</v>
      </c>
      <c r="BY19" s="32">
        <v>29</v>
      </c>
      <c r="BZ19" s="40">
        <v>17</v>
      </c>
      <c r="CA19" s="30">
        <f t="shared" si="55"/>
        <v>5</v>
      </c>
      <c r="CB19" s="32">
        <v>1</v>
      </c>
      <c r="CC19" s="40">
        <v>0</v>
      </c>
      <c r="CD19" s="30">
        <f t="shared" si="56"/>
        <v>2</v>
      </c>
      <c r="CE19" s="40">
        <f t="shared" si="57"/>
        <v>27</v>
      </c>
      <c r="CF19" s="30">
        <f t="shared" si="58"/>
        <v>4</v>
      </c>
      <c r="CG19" s="40">
        <f t="shared" si="59"/>
        <v>169</v>
      </c>
      <c r="CH19" s="141"/>
      <c r="CI19" s="32" t="s">
        <v>128</v>
      </c>
    </row>
    <row r="20" spans="1:88">
      <c r="A20" s="3"/>
      <c r="B20" s="45" t="s">
        <v>129</v>
      </c>
      <c r="C20" s="99">
        <v>35271</v>
      </c>
      <c r="D20" s="113" t="s">
        <v>77</v>
      </c>
      <c r="E20" s="32">
        <v>153</v>
      </c>
      <c r="F20" s="32">
        <v>35</v>
      </c>
      <c r="G20" s="32">
        <v>62</v>
      </c>
      <c r="H20" s="32">
        <v>1.145</v>
      </c>
      <c r="I20" s="44">
        <f t="shared" si="30"/>
        <v>14.951514374813106</v>
      </c>
      <c r="J20" s="43" t="s">
        <v>82</v>
      </c>
      <c r="K20" s="32">
        <f t="shared" si="31"/>
        <v>127.15875475419074</v>
      </c>
      <c r="L20" s="45" t="s">
        <v>129</v>
      </c>
      <c r="M20" s="32">
        <v>160</v>
      </c>
      <c r="N20" s="40">
        <v>15</v>
      </c>
      <c r="O20" s="30">
        <f t="shared" si="32"/>
        <v>5</v>
      </c>
      <c r="P20" s="32">
        <v>5.2</v>
      </c>
      <c r="Q20" s="40">
        <v>18</v>
      </c>
      <c r="R20" s="30">
        <f t="shared" si="33"/>
        <v>5</v>
      </c>
      <c r="S20" s="32">
        <v>11.3</v>
      </c>
      <c r="T20" s="40">
        <v>7</v>
      </c>
      <c r="U20" s="30">
        <f t="shared" si="34"/>
        <v>4</v>
      </c>
      <c r="V20" s="32">
        <v>1400</v>
      </c>
      <c r="W20" s="40">
        <v>20</v>
      </c>
      <c r="X20" s="30">
        <f t="shared" si="35"/>
        <v>5</v>
      </c>
      <c r="Y20" s="40">
        <f t="shared" si="36"/>
        <v>60</v>
      </c>
      <c r="Z20" s="30">
        <f t="shared" si="37"/>
        <v>5</v>
      </c>
      <c r="AA20" s="41"/>
      <c r="AB20" s="45" t="s">
        <v>129</v>
      </c>
      <c r="AC20" s="32">
        <v>26</v>
      </c>
      <c r="AD20" s="40">
        <v>4</v>
      </c>
      <c r="AE20" s="30">
        <f t="shared" si="38"/>
        <v>3</v>
      </c>
      <c r="AF20" s="32">
        <v>19</v>
      </c>
      <c r="AG20" s="40">
        <v>20</v>
      </c>
      <c r="AH20" s="30">
        <f t="shared" si="39"/>
        <v>5</v>
      </c>
      <c r="AI20" s="32">
        <v>64</v>
      </c>
      <c r="AJ20" s="40">
        <v>5</v>
      </c>
      <c r="AK20" s="30">
        <f t="shared" si="40"/>
        <v>4</v>
      </c>
      <c r="AL20" s="32">
        <v>7</v>
      </c>
      <c r="AM20" s="40">
        <v>1</v>
      </c>
      <c r="AN20" s="30">
        <f t="shared" si="41"/>
        <v>3</v>
      </c>
      <c r="AO20" s="32">
        <v>10</v>
      </c>
      <c r="AP20" s="40">
        <v>10</v>
      </c>
      <c r="AQ20" s="30">
        <f t="shared" si="42"/>
        <v>5</v>
      </c>
      <c r="AR20" s="32">
        <v>9</v>
      </c>
      <c r="AS20" s="40">
        <v>9</v>
      </c>
      <c r="AT20" s="30">
        <f t="shared" si="43"/>
        <v>4</v>
      </c>
      <c r="AU20" s="40">
        <f t="shared" si="44"/>
        <v>49</v>
      </c>
      <c r="AV20" s="30">
        <f t="shared" si="45"/>
        <v>5</v>
      </c>
      <c r="AW20" s="40">
        <f t="shared" si="46"/>
        <v>109</v>
      </c>
      <c r="AX20" s="41"/>
      <c r="AY20" s="45" t="s">
        <v>129</v>
      </c>
      <c r="AZ20" s="32"/>
      <c r="BA20" s="40"/>
      <c r="BB20" s="30"/>
      <c r="BC20" s="32"/>
      <c r="BD20" s="40"/>
      <c r="BE20" s="30" t="str">
        <f>IF(BC20=0,"",IF(BC20&gt;15.3,2,IF(AND(BC20&lt;=15.3,BC20&gt;15),3,IF(AND(BC20&lt;=15,BC20&gt;14.3),4,IF(AND(BC20&lt;=14.3),5)))))</f>
        <v/>
      </c>
      <c r="BF20" s="32">
        <v>2</v>
      </c>
      <c r="BG20" s="40">
        <v>0</v>
      </c>
      <c r="BH20" s="30">
        <f t="shared" si="47"/>
        <v>2</v>
      </c>
      <c r="BI20" s="32">
        <v>17.7</v>
      </c>
      <c r="BJ20" s="40">
        <v>1</v>
      </c>
      <c r="BK20" s="30">
        <f t="shared" si="48"/>
        <v>3</v>
      </c>
      <c r="BL20" s="32">
        <v>4</v>
      </c>
      <c r="BM20" s="40">
        <v>10</v>
      </c>
      <c r="BN20" s="30">
        <f t="shared" si="49"/>
        <v>5</v>
      </c>
      <c r="BO20" s="40">
        <f t="shared" si="50"/>
        <v>11</v>
      </c>
      <c r="BP20" s="30">
        <f t="shared" si="51"/>
        <v>3</v>
      </c>
      <c r="BQ20" s="40">
        <f t="shared" si="52"/>
        <v>120</v>
      </c>
      <c r="BR20" s="41"/>
      <c r="BS20" s="32">
        <v>10.3</v>
      </c>
      <c r="BT20" s="40">
        <v>10</v>
      </c>
      <c r="BU20" s="30">
        <f t="shared" si="53"/>
        <v>5</v>
      </c>
      <c r="BV20" s="32">
        <v>8</v>
      </c>
      <c r="BW20" s="40">
        <v>10</v>
      </c>
      <c r="BX20" s="30">
        <f t="shared" si="54"/>
        <v>5</v>
      </c>
      <c r="BY20" s="32">
        <v>18</v>
      </c>
      <c r="BZ20" s="40">
        <v>5</v>
      </c>
      <c r="CA20" s="30">
        <f t="shared" si="55"/>
        <v>4</v>
      </c>
      <c r="CB20" s="32">
        <v>9</v>
      </c>
      <c r="CC20" s="40">
        <v>20</v>
      </c>
      <c r="CD20" s="30">
        <f t="shared" si="56"/>
        <v>5</v>
      </c>
      <c r="CE20" s="40">
        <f t="shared" si="57"/>
        <v>45</v>
      </c>
      <c r="CF20" s="30">
        <f t="shared" si="58"/>
        <v>5</v>
      </c>
      <c r="CG20" s="40">
        <f t="shared" si="59"/>
        <v>165</v>
      </c>
      <c r="CH20" s="141"/>
      <c r="CI20" s="45" t="s">
        <v>129</v>
      </c>
    </row>
    <row r="21" spans="1:88">
      <c r="A21" s="3"/>
      <c r="B21" s="34" t="s">
        <v>130</v>
      </c>
      <c r="C21" s="100">
        <v>35383</v>
      </c>
      <c r="D21" s="47" t="s">
        <v>77</v>
      </c>
      <c r="E21" s="32">
        <v>154</v>
      </c>
      <c r="F21" s="32">
        <v>36</v>
      </c>
      <c r="G21" s="32">
        <v>61</v>
      </c>
      <c r="H21" s="32">
        <v>1.145</v>
      </c>
      <c r="I21" s="44">
        <f t="shared" si="30"/>
        <v>15.179625569235959</v>
      </c>
      <c r="J21" s="43" t="s">
        <v>82</v>
      </c>
      <c r="K21" s="32">
        <f t="shared" si="31"/>
        <v>130.0880521153984</v>
      </c>
      <c r="L21" s="34" t="s">
        <v>130</v>
      </c>
      <c r="M21" s="32">
        <v>130</v>
      </c>
      <c r="N21" s="40">
        <v>0</v>
      </c>
      <c r="O21" s="30">
        <f t="shared" si="32"/>
        <v>2</v>
      </c>
      <c r="P21" s="32">
        <v>5.3</v>
      </c>
      <c r="Q21" s="40">
        <v>16</v>
      </c>
      <c r="R21" s="30">
        <f t="shared" si="33"/>
        <v>5</v>
      </c>
      <c r="S21" s="32">
        <v>12</v>
      </c>
      <c r="T21" s="40">
        <v>1</v>
      </c>
      <c r="U21" s="30">
        <f t="shared" si="34"/>
        <v>3</v>
      </c>
      <c r="V21" s="32">
        <v>1250</v>
      </c>
      <c r="W21" s="40">
        <v>15</v>
      </c>
      <c r="X21" s="30">
        <f t="shared" si="35"/>
        <v>5</v>
      </c>
      <c r="Y21" s="40">
        <f t="shared" si="36"/>
        <v>32</v>
      </c>
      <c r="Z21" s="30">
        <f t="shared" si="37"/>
        <v>5</v>
      </c>
      <c r="AA21" s="41"/>
      <c r="AB21" s="34" t="s">
        <v>130</v>
      </c>
      <c r="AC21" s="32">
        <v>24</v>
      </c>
      <c r="AD21" s="40">
        <v>3</v>
      </c>
      <c r="AE21" s="30">
        <f t="shared" si="38"/>
        <v>3</v>
      </c>
      <c r="AF21" s="32">
        <v>10</v>
      </c>
      <c r="AG21" s="40">
        <v>7</v>
      </c>
      <c r="AH21" s="30">
        <f t="shared" si="39"/>
        <v>4</v>
      </c>
      <c r="AI21" s="32">
        <v>99</v>
      </c>
      <c r="AJ21" s="40">
        <v>9</v>
      </c>
      <c r="AK21" s="30">
        <f t="shared" si="40"/>
        <v>4</v>
      </c>
      <c r="AL21" s="32">
        <v>10</v>
      </c>
      <c r="AM21" s="40">
        <v>5</v>
      </c>
      <c r="AN21" s="30">
        <f t="shared" si="41"/>
        <v>4</v>
      </c>
      <c r="AO21" s="32">
        <v>12</v>
      </c>
      <c r="AP21" s="40">
        <v>12</v>
      </c>
      <c r="AQ21" s="30">
        <f t="shared" si="42"/>
        <v>5</v>
      </c>
      <c r="AR21" s="32">
        <v>10</v>
      </c>
      <c r="AS21" s="40">
        <v>10</v>
      </c>
      <c r="AT21" s="30">
        <f t="shared" si="43"/>
        <v>5</v>
      </c>
      <c r="AU21" s="40">
        <f t="shared" si="44"/>
        <v>46</v>
      </c>
      <c r="AV21" s="30">
        <f t="shared" si="45"/>
        <v>5</v>
      </c>
      <c r="AW21" s="40">
        <f t="shared" si="46"/>
        <v>78</v>
      </c>
      <c r="AX21" s="41"/>
      <c r="AY21" s="34" t="s">
        <v>130</v>
      </c>
      <c r="AZ21" s="32">
        <v>8.2899999999999991</v>
      </c>
      <c r="BA21" s="40">
        <v>5</v>
      </c>
      <c r="BB21" s="30">
        <v>4</v>
      </c>
      <c r="BC21" s="32">
        <v>17.23</v>
      </c>
      <c r="BD21" s="40">
        <v>5</v>
      </c>
      <c r="BE21" s="30">
        <v>4</v>
      </c>
      <c r="BF21" s="32">
        <v>3</v>
      </c>
      <c r="BG21" s="40">
        <v>0</v>
      </c>
      <c r="BH21" s="30">
        <f t="shared" si="47"/>
        <v>2</v>
      </c>
      <c r="BI21" s="32">
        <v>13.9</v>
      </c>
      <c r="BJ21" s="40">
        <v>14</v>
      </c>
      <c r="BK21" s="30">
        <f t="shared" si="48"/>
        <v>5</v>
      </c>
      <c r="BL21" s="32">
        <v>5</v>
      </c>
      <c r="BM21" s="40">
        <v>12</v>
      </c>
      <c r="BN21" s="30">
        <f t="shared" si="49"/>
        <v>5</v>
      </c>
      <c r="BO21" s="40">
        <f t="shared" si="50"/>
        <v>36</v>
      </c>
      <c r="BP21" s="30">
        <f t="shared" si="51"/>
        <v>4</v>
      </c>
      <c r="BQ21" s="40">
        <f t="shared" si="52"/>
        <v>114</v>
      </c>
      <c r="BR21" s="41"/>
      <c r="BS21" s="32">
        <v>11</v>
      </c>
      <c r="BT21" s="40">
        <v>2</v>
      </c>
      <c r="BU21" s="30">
        <f t="shared" si="53"/>
        <v>3</v>
      </c>
      <c r="BV21" s="32">
        <v>10.02</v>
      </c>
      <c r="BW21" s="40">
        <v>0</v>
      </c>
      <c r="BX21" s="30">
        <f t="shared" si="54"/>
        <v>2</v>
      </c>
      <c r="BY21" s="32">
        <v>20</v>
      </c>
      <c r="BZ21" s="40">
        <v>7</v>
      </c>
      <c r="CA21" s="30">
        <f t="shared" si="55"/>
        <v>4</v>
      </c>
      <c r="CB21" s="32">
        <v>7</v>
      </c>
      <c r="CC21" s="40">
        <v>13</v>
      </c>
      <c r="CD21" s="30">
        <f t="shared" si="56"/>
        <v>5</v>
      </c>
      <c r="CE21" s="40">
        <f t="shared" si="57"/>
        <v>22</v>
      </c>
      <c r="CF21" s="30">
        <f t="shared" si="58"/>
        <v>4</v>
      </c>
      <c r="CG21" s="40">
        <f t="shared" si="59"/>
        <v>136</v>
      </c>
      <c r="CH21" s="141"/>
      <c r="CI21" s="34" t="s">
        <v>130</v>
      </c>
    </row>
    <row r="22" spans="1:88">
      <c r="A22" s="3"/>
      <c r="B22" s="32" t="s">
        <v>131</v>
      </c>
      <c r="C22" s="48">
        <v>35611</v>
      </c>
      <c r="D22" s="113" t="s">
        <v>19</v>
      </c>
      <c r="E22" s="32">
        <v>154</v>
      </c>
      <c r="F22" s="32">
        <v>61</v>
      </c>
      <c r="G22" s="32">
        <v>80</v>
      </c>
      <c r="H22" s="32">
        <v>1.1499999999999999</v>
      </c>
      <c r="I22" s="44">
        <f t="shared" si="30"/>
        <v>25.72103221453871</v>
      </c>
      <c r="J22" s="43" t="s">
        <v>21</v>
      </c>
      <c r="K22" s="32">
        <f t="shared" si="31"/>
        <v>77.836956521739125</v>
      </c>
      <c r="L22" s="32" t="s">
        <v>131</v>
      </c>
      <c r="M22" s="32">
        <v>120</v>
      </c>
      <c r="N22" s="40">
        <v>0</v>
      </c>
      <c r="O22" s="30">
        <f t="shared" si="32"/>
        <v>2</v>
      </c>
      <c r="P22" s="32">
        <v>5.4</v>
      </c>
      <c r="Q22" s="40">
        <v>14</v>
      </c>
      <c r="R22" s="30">
        <f t="shared" si="33"/>
        <v>5</v>
      </c>
      <c r="S22" s="32">
        <v>11.9</v>
      </c>
      <c r="T22" s="40">
        <v>2</v>
      </c>
      <c r="U22" s="30">
        <f t="shared" si="34"/>
        <v>3</v>
      </c>
      <c r="V22" s="32">
        <v>1050</v>
      </c>
      <c r="W22" s="40">
        <v>2</v>
      </c>
      <c r="X22" s="30">
        <f t="shared" si="35"/>
        <v>3</v>
      </c>
      <c r="Y22" s="40">
        <f t="shared" si="36"/>
        <v>18</v>
      </c>
      <c r="Z22" s="30">
        <f t="shared" si="37"/>
        <v>4</v>
      </c>
      <c r="AA22" s="41"/>
      <c r="AB22" s="32" t="s">
        <v>131</v>
      </c>
      <c r="AC22" s="32">
        <v>24</v>
      </c>
      <c r="AD22" s="40">
        <v>3</v>
      </c>
      <c r="AE22" s="30">
        <f t="shared" si="38"/>
        <v>3</v>
      </c>
      <c r="AF22" s="32">
        <v>1</v>
      </c>
      <c r="AG22" s="40">
        <v>0</v>
      </c>
      <c r="AH22" s="30">
        <f t="shared" si="39"/>
        <v>2</v>
      </c>
      <c r="AI22" s="32">
        <v>102</v>
      </c>
      <c r="AJ22" s="40">
        <v>10</v>
      </c>
      <c r="AK22" s="30">
        <f t="shared" si="40"/>
        <v>5</v>
      </c>
      <c r="AL22" s="32">
        <v>1</v>
      </c>
      <c r="AM22" s="40">
        <v>0</v>
      </c>
      <c r="AN22" s="30">
        <f t="shared" si="41"/>
        <v>2</v>
      </c>
      <c r="AO22" s="32">
        <v>5</v>
      </c>
      <c r="AP22" s="40">
        <v>5</v>
      </c>
      <c r="AQ22" s="30">
        <f t="shared" si="42"/>
        <v>4</v>
      </c>
      <c r="AR22" s="32">
        <v>4</v>
      </c>
      <c r="AS22" s="40">
        <v>4</v>
      </c>
      <c r="AT22" s="30">
        <f t="shared" si="43"/>
        <v>3</v>
      </c>
      <c r="AU22" s="40">
        <f t="shared" si="44"/>
        <v>22</v>
      </c>
      <c r="AV22" s="30">
        <f t="shared" si="45"/>
        <v>4</v>
      </c>
      <c r="AW22" s="40">
        <f t="shared" si="46"/>
        <v>40</v>
      </c>
      <c r="AX22" s="41"/>
      <c r="AY22" s="32" t="s">
        <v>131</v>
      </c>
      <c r="AZ22" s="32">
        <v>10.290000000000001</v>
      </c>
      <c r="BA22" s="40">
        <v>5</v>
      </c>
      <c r="BB22" s="30">
        <v>4</v>
      </c>
      <c r="BC22" s="32">
        <v>22.57</v>
      </c>
      <c r="BD22" s="40">
        <v>5</v>
      </c>
      <c r="BE22" s="30">
        <v>4</v>
      </c>
      <c r="BF22" s="32">
        <v>3</v>
      </c>
      <c r="BG22" s="40">
        <v>0</v>
      </c>
      <c r="BH22" s="30">
        <f t="shared" si="47"/>
        <v>2</v>
      </c>
      <c r="BI22" s="32">
        <v>14.4</v>
      </c>
      <c r="BJ22" s="40">
        <v>12</v>
      </c>
      <c r="BK22" s="30">
        <f t="shared" si="48"/>
        <v>5</v>
      </c>
      <c r="BL22" s="32">
        <v>4</v>
      </c>
      <c r="BM22" s="40">
        <v>10</v>
      </c>
      <c r="BN22" s="30">
        <f t="shared" si="49"/>
        <v>5</v>
      </c>
      <c r="BO22" s="40">
        <f t="shared" si="50"/>
        <v>32</v>
      </c>
      <c r="BP22" s="30">
        <f t="shared" si="51"/>
        <v>4</v>
      </c>
      <c r="BQ22" s="40">
        <f t="shared" si="52"/>
        <v>72</v>
      </c>
      <c r="BR22" s="41"/>
      <c r="BS22" s="32">
        <v>10.6</v>
      </c>
      <c r="BT22" s="40">
        <v>5</v>
      </c>
      <c r="BU22" s="30">
        <f t="shared" si="53"/>
        <v>4</v>
      </c>
      <c r="BV22" s="32">
        <v>11.58</v>
      </c>
      <c r="BW22" s="40">
        <v>0</v>
      </c>
      <c r="BX22" s="30">
        <f t="shared" si="54"/>
        <v>2</v>
      </c>
      <c r="BY22" s="32">
        <v>18</v>
      </c>
      <c r="BZ22" s="40">
        <v>5</v>
      </c>
      <c r="CA22" s="30">
        <f t="shared" si="55"/>
        <v>4</v>
      </c>
      <c r="CB22" s="32">
        <v>5</v>
      </c>
      <c r="CC22" s="40">
        <v>8</v>
      </c>
      <c r="CD22" s="30">
        <f t="shared" si="56"/>
        <v>4</v>
      </c>
      <c r="CE22" s="40">
        <f t="shared" si="57"/>
        <v>18</v>
      </c>
      <c r="CF22" s="30">
        <f t="shared" si="58"/>
        <v>4</v>
      </c>
      <c r="CG22" s="40">
        <f t="shared" si="59"/>
        <v>90</v>
      </c>
      <c r="CH22" s="141"/>
      <c r="CI22" s="32" t="s">
        <v>131</v>
      </c>
    </row>
    <row r="23" spans="1:88">
      <c r="A23" s="315"/>
      <c r="B23" s="324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121"/>
      <c r="P23" s="92"/>
      <c r="Q23" s="92"/>
      <c r="R23" s="121"/>
      <c r="S23" s="92"/>
      <c r="T23" s="92"/>
      <c r="U23" s="121"/>
      <c r="V23" s="92"/>
      <c r="W23" s="92"/>
      <c r="X23" s="121"/>
      <c r="Y23" s="92"/>
      <c r="Z23" s="123"/>
      <c r="AA23" s="123"/>
      <c r="AB23" s="92"/>
      <c r="AC23" s="124"/>
      <c r="AD23" s="110"/>
      <c r="AE23" s="125"/>
      <c r="AF23" s="110"/>
      <c r="AG23" s="110"/>
      <c r="AH23" s="125"/>
      <c r="AI23" s="110"/>
      <c r="AJ23" s="110"/>
      <c r="AK23" s="125"/>
      <c r="AL23" s="110"/>
      <c r="AM23" s="110"/>
      <c r="AN23" s="125"/>
      <c r="AO23" s="110"/>
      <c r="AP23" s="110"/>
      <c r="AQ23" s="125"/>
      <c r="AR23" s="110"/>
      <c r="AS23" s="110"/>
      <c r="AT23" s="125"/>
      <c r="AU23" s="110"/>
      <c r="AV23" s="125"/>
      <c r="AW23" s="110"/>
      <c r="AX23" s="110"/>
      <c r="AY23" s="106"/>
      <c r="BB23" s="121"/>
      <c r="BE23" s="121"/>
      <c r="BH23" s="121"/>
      <c r="BK23" s="121"/>
      <c r="BN23" s="121"/>
      <c r="BP23" s="121"/>
      <c r="BQ23" s="106"/>
      <c r="BR23" s="217"/>
      <c r="BU23" s="121"/>
      <c r="BW23" s="120"/>
      <c r="BX23" s="121"/>
      <c r="BZ23" s="120"/>
      <c r="CA23" s="121"/>
      <c r="CC23" s="120"/>
      <c r="CD23" s="121"/>
      <c r="CE23" s="120"/>
      <c r="CF23" s="121"/>
      <c r="CG23" s="120"/>
      <c r="CH23" s="120"/>
      <c r="CI23" s="106"/>
    </row>
    <row r="24" spans="1:88">
      <c r="A24" s="315"/>
      <c r="B24" s="316"/>
      <c r="C24" s="227" t="s">
        <v>19</v>
      </c>
      <c r="D24" s="248">
        <f>COUNTIF(D3:D22,"осн.")</f>
        <v>17</v>
      </c>
      <c r="E24" s="249"/>
      <c r="F24" s="217"/>
      <c r="G24" s="217"/>
      <c r="H24" s="217"/>
      <c r="I24" s="217"/>
      <c r="J24" s="217"/>
      <c r="K24" s="228"/>
      <c r="L24" s="106" t="s">
        <v>132</v>
      </c>
      <c r="M24" s="32"/>
      <c r="N24" s="32"/>
      <c r="O24" s="30">
        <f>AVERAGE(O3:O22)</f>
        <v>4.0555555555555554</v>
      </c>
      <c r="P24" s="32"/>
      <c r="Q24" s="32"/>
      <c r="R24" s="30">
        <f>AVERAGE(R3:R22)</f>
        <v>4.8947368421052628</v>
      </c>
      <c r="S24" s="32"/>
      <c r="T24" s="32"/>
      <c r="U24" s="30">
        <f>AVERAGE(U3:U22)</f>
        <v>4.3157894736842106</v>
      </c>
      <c r="V24" s="32"/>
      <c r="W24" s="32"/>
      <c r="X24" s="30">
        <f>AVERAGE(X3:X22)</f>
        <v>4.6315789473684212</v>
      </c>
      <c r="Y24" s="32"/>
      <c r="Z24" s="30">
        <f>AVERAGE(O24:X24)</f>
        <v>4.4744152046783618</v>
      </c>
      <c r="AA24" s="30"/>
      <c r="AB24" s="32" t="s">
        <v>132</v>
      </c>
      <c r="AC24" s="32"/>
      <c r="AD24" s="45"/>
      <c r="AE24" s="33">
        <f>AVERAGE(AE3:AE18)</f>
        <v>4.2666666666666666</v>
      </c>
      <c r="AF24" s="45"/>
      <c r="AG24" s="45"/>
      <c r="AH24" s="33">
        <f>AVERAGE(AH3:AH18)</f>
        <v>3.6666666666666665</v>
      </c>
      <c r="AI24" s="45"/>
      <c r="AJ24" s="45"/>
      <c r="AK24" s="33">
        <f>AVERAGE(AK3:AK18)</f>
        <v>4.4000000000000004</v>
      </c>
      <c r="AL24" s="45"/>
      <c r="AM24" s="45"/>
      <c r="AN24" s="33">
        <f>AVERAGE(AN3:AN18)</f>
        <v>4.0714285714285712</v>
      </c>
      <c r="AO24" s="45"/>
      <c r="AP24" s="45"/>
      <c r="AQ24" s="33">
        <f>AVERAGE(AQ3:AQ18)</f>
        <v>4.5714285714285712</v>
      </c>
      <c r="AR24" s="45"/>
      <c r="AS24" s="45"/>
      <c r="AT24" s="33">
        <f>AVERAGE(AT3:AT18)</f>
        <v>4.615384615384615</v>
      </c>
      <c r="AU24" s="45"/>
      <c r="AV24" s="30">
        <f>AVERAGE(AE24:AT24)</f>
        <v>4.2652625152625143</v>
      </c>
      <c r="AW24" s="45"/>
      <c r="AX24" s="45"/>
      <c r="AY24" s="45" t="s">
        <v>132</v>
      </c>
      <c r="AZ24" s="32"/>
      <c r="BA24" s="32"/>
      <c r="BB24" s="30">
        <f>AVERAGE(BB3:BB22)</f>
        <v>3.3846153846153846</v>
      </c>
      <c r="BC24" s="32"/>
      <c r="BD24" s="32"/>
      <c r="BE24" s="30">
        <f>AVERAGE(BE3:BE22)</f>
        <v>3.3846153846153846</v>
      </c>
      <c r="BF24" s="32"/>
      <c r="BG24" s="32"/>
      <c r="BH24" s="30">
        <f>AVERAGE(BH3:BH18)</f>
        <v>4.333333333333333</v>
      </c>
      <c r="BI24" s="32"/>
      <c r="BJ24" s="32"/>
      <c r="BK24" s="30">
        <f>AVERAGE(BK3:BK18)</f>
        <v>4.5</v>
      </c>
      <c r="BL24" s="32"/>
      <c r="BM24" s="32"/>
      <c r="BN24" s="30">
        <f>AVERAGE(BN3:BN18)</f>
        <v>4.5714285714285712</v>
      </c>
      <c r="BO24" s="32"/>
      <c r="BP24" s="30">
        <f>AVERAGE(BB24:BN24)</f>
        <v>4.0347985347985347</v>
      </c>
      <c r="BQ24" s="32"/>
      <c r="BR24" s="32"/>
      <c r="BS24" s="32"/>
      <c r="BT24" s="32"/>
      <c r="BU24" s="30">
        <f>AVERAGE(BU3:BU18)</f>
        <v>4.7333333333333334</v>
      </c>
      <c r="BV24" s="32"/>
      <c r="BW24" s="40"/>
      <c r="BX24" s="30">
        <f>AVERAGE(BX3:BX18)</f>
        <v>3.6</v>
      </c>
      <c r="BY24" s="32"/>
      <c r="BZ24" s="40"/>
      <c r="CA24" s="30">
        <f>AVERAGE(CA3:CA18)</f>
        <v>4.2666666666666666</v>
      </c>
      <c r="CB24" s="32"/>
      <c r="CC24" s="40"/>
      <c r="CD24" s="30">
        <f>AVERAGE(CD3:CD18)</f>
        <v>4.5999999999999996</v>
      </c>
      <c r="CE24" s="40"/>
      <c r="CF24" s="30">
        <f>AVERAGE(BU24:CD24)</f>
        <v>4.3000000000000007</v>
      </c>
      <c r="CG24" s="30">
        <f>AVERAGE(Z24,AV24,BP24,CF24)</f>
        <v>4.2686190636848522</v>
      </c>
      <c r="CH24" s="33"/>
      <c r="CI24" s="45" t="s">
        <v>132</v>
      </c>
    </row>
    <row r="25" spans="1:88">
      <c r="A25" s="315"/>
      <c r="B25" s="325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7" t="s">
        <v>17</v>
      </c>
      <c r="Z25" s="127"/>
      <c r="AA25" s="126"/>
      <c r="AB25" s="126"/>
    </row>
    <row r="26" spans="1:88">
      <c r="A26" s="315"/>
      <c r="B26" s="319" t="s">
        <v>16</v>
      </c>
      <c r="C26" s="26"/>
      <c r="D26" s="26"/>
      <c r="Y26" s="25" t="s">
        <v>15</v>
      </c>
      <c r="Z26" s="24">
        <v>19</v>
      </c>
      <c r="AU26" s="24" t="s">
        <v>15</v>
      </c>
      <c r="AV26" s="24">
        <v>19</v>
      </c>
      <c r="BO26" s="24" t="s">
        <v>15</v>
      </c>
      <c r="BP26" s="24">
        <v>19</v>
      </c>
      <c r="CE26" s="24" t="s">
        <v>15</v>
      </c>
      <c r="CF26" s="24">
        <v>19</v>
      </c>
      <c r="CJ26" s="92"/>
    </row>
    <row r="27" spans="1:88">
      <c r="A27" s="315"/>
      <c r="B27" s="321"/>
      <c r="C27" s="23"/>
      <c r="E27" s="92"/>
      <c r="F27" s="92"/>
      <c r="G27" s="92"/>
      <c r="H27" s="92"/>
      <c r="I27" s="92"/>
      <c r="J27" s="92"/>
      <c r="K27" s="92"/>
      <c r="L27" s="92"/>
      <c r="Y27" s="22" t="s">
        <v>133</v>
      </c>
      <c r="Z27" s="13">
        <f>COUNTIF(Z3:Z22,5)</f>
        <v>16</v>
      </c>
      <c r="AU27" s="128" t="s">
        <v>134</v>
      </c>
      <c r="AV27" s="13">
        <f>COUNTIF(AV3:AV22,5)</f>
        <v>14</v>
      </c>
      <c r="BO27" s="128" t="s">
        <v>134</v>
      </c>
      <c r="BP27" s="13">
        <f>COUNTIF(BP3:BP22,5)</f>
        <v>8</v>
      </c>
      <c r="CE27" s="128" t="s">
        <v>134</v>
      </c>
      <c r="CF27" s="13">
        <f>COUNTIF(CF3:CF22,5)</f>
        <v>14</v>
      </c>
      <c r="CJ27" s="92"/>
    </row>
    <row r="28" spans="1:88">
      <c r="A28" s="315"/>
      <c r="B28" s="326" t="s">
        <v>13</v>
      </c>
      <c r="C28" s="20">
        <v>18</v>
      </c>
      <c r="D28" s="19" t="s">
        <v>4</v>
      </c>
      <c r="E28" s="92"/>
      <c r="F28" s="92"/>
      <c r="G28" s="92"/>
      <c r="H28" s="92"/>
      <c r="I28" s="92"/>
      <c r="J28" s="92"/>
      <c r="K28" s="92"/>
      <c r="L28" s="92"/>
      <c r="Y28" s="18" t="s">
        <v>12</v>
      </c>
      <c r="Z28" s="13">
        <f>COUNTIF(Z3:Z22,4)</f>
        <v>3</v>
      </c>
      <c r="AU28" s="129" t="s">
        <v>12</v>
      </c>
      <c r="AV28" s="13">
        <f>COUNTIF(AV3:AV22,4)</f>
        <v>2</v>
      </c>
      <c r="BO28" s="129" t="s">
        <v>12</v>
      </c>
      <c r="BP28" s="13">
        <f>COUNTIF(BP3:BP22,4)</f>
        <v>9</v>
      </c>
      <c r="CE28" s="129" t="s">
        <v>12</v>
      </c>
      <c r="CF28" s="13">
        <f>COUNTIF(CF3:CF22,4)</f>
        <v>3</v>
      </c>
      <c r="CJ28" s="92"/>
    </row>
    <row r="29" spans="1:88">
      <c r="A29" s="315"/>
      <c r="B29" s="327" t="s">
        <v>11</v>
      </c>
      <c r="C29" s="2">
        <f>COUNTIF(J3:J22,"деф.массы")</f>
        <v>6</v>
      </c>
      <c r="D29" s="2">
        <f>C29*100/C28</f>
        <v>33.333333333333336</v>
      </c>
      <c r="E29" s="92"/>
      <c r="F29" s="92"/>
      <c r="G29" s="92"/>
      <c r="H29" s="92"/>
      <c r="I29" s="92"/>
      <c r="J29" s="92"/>
      <c r="K29" s="92"/>
      <c r="L29" s="92"/>
      <c r="Y29" s="16" t="s">
        <v>10</v>
      </c>
      <c r="Z29" s="13">
        <f>COUNTIF(Z3:Z22,3)</f>
        <v>0</v>
      </c>
      <c r="AU29" s="130" t="s">
        <v>135</v>
      </c>
      <c r="AV29" s="13">
        <f>COUNTIF(AV3:AV22,3)</f>
        <v>3</v>
      </c>
      <c r="BO29" s="130" t="s">
        <v>135</v>
      </c>
      <c r="BP29" s="13">
        <f>COUNTIF(BP3:BP22,3)</f>
        <v>2</v>
      </c>
      <c r="CE29" s="130" t="s">
        <v>135</v>
      </c>
      <c r="CF29" s="13">
        <f>COUNTIF(CF3:CF22,3)</f>
        <v>2</v>
      </c>
      <c r="CJ29" s="92"/>
    </row>
    <row r="30" spans="1:88">
      <c r="A30" s="315"/>
      <c r="B30" s="328" t="s">
        <v>9</v>
      </c>
      <c r="C30" s="2">
        <f>COUNTIF(J3:J22,"гарм.(-)")</f>
        <v>3</v>
      </c>
      <c r="D30" s="359">
        <f>(C30+C31+C32)*100/C28</f>
        <v>50</v>
      </c>
      <c r="E30" s="92"/>
      <c r="F30" s="92"/>
      <c r="G30" s="92"/>
      <c r="H30" s="92"/>
      <c r="I30" s="92"/>
      <c r="J30" s="92"/>
      <c r="K30" s="92"/>
      <c r="L30" s="92"/>
      <c r="Y30" s="14" t="s">
        <v>8</v>
      </c>
      <c r="Z30" s="13">
        <f>COUNTIF(Z3:Z22,2)</f>
        <v>0</v>
      </c>
      <c r="AU30" s="131" t="s">
        <v>136</v>
      </c>
      <c r="AV30" s="13">
        <f>COUNTIF(AV3:AV22,2)</f>
        <v>0</v>
      </c>
      <c r="BO30" s="131" t="s">
        <v>136</v>
      </c>
      <c r="BP30" s="13">
        <f>COUNTIF(BP3:BP22,2)</f>
        <v>0</v>
      </c>
      <c r="CE30" s="131" t="s">
        <v>136</v>
      </c>
      <c r="CF30" s="13">
        <f>COUNTIF(CF3:CF22,2)</f>
        <v>0</v>
      </c>
      <c r="CJ30" s="92"/>
    </row>
    <row r="31" spans="1:88">
      <c r="A31" s="315"/>
      <c r="B31" s="329" t="s">
        <v>7</v>
      </c>
      <c r="C31" s="2">
        <f>COUNTIF(J3:J22,"гармонич.")</f>
        <v>5</v>
      </c>
      <c r="D31" s="360"/>
      <c r="E31" s="92"/>
      <c r="F31" s="92"/>
      <c r="G31" s="92"/>
      <c r="H31" s="92"/>
      <c r="I31" s="92"/>
      <c r="J31" s="92"/>
      <c r="K31" s="92"/>
      <c r="L31" s="92"/>
      <c r="Y31" s="11" t="s">
        <v>6</v>
      </c>
      <c r="Z31" s="10">
        <f>COUNTIF(Z3:Z22,"осв.")</f>
        <v>0</v>
      </c>
      <c r="AU31" s="10" t="s">
        <v>96</v>
      </c>
      <c r="AV31" s="10">
        <f>COUNTIF(AV3:AV22,"осв.")</f>
        <v>0</v>
      </c>
      <c r="BO31" s="10" t="s">
        <v>96</v>
      </c>
      <c r="BP31" s="10">
        <f>COUNTIF(BP3:BP22,"осв.")</f>
        <v>0</v>
      </c>
      <c r="CE31" s="10" t="s">
        <v>96</v>
      </c>
      <c r="CF31" s="10">
        <f>COUNTIF(CF3:CF22,"осв.")</f>
        <v>0</v>
      </c>
      <c r="CJ31" s="92"/>
    </row>
    <row r="32" spans="1:88">
      <c r="A32" s="315"/>
      <c r="B32" s="330" t="s">
        <v>5</v>
      </c>
      <c r="C32" s="2">
        <f>COUNTIF(J3:J22,"гарм.(+)")</f>
        <v>1</v>
      </c>
      <c r="D32" s="361"/>
      <c r="E32" s="92"/>
      <c r="F32" s="92"/>
      <c r="G32" s="92"/>
      <c r="H32" s="92"/>
      <c r="I32" s="92"/>
      <c r="J32" s="92"/>
      <c r="K32" s="92"/>
      <c r="L32" s="92"/>
      <c r="Y32" s="8"/>
      <c r="Z32" s="7" t="s">
        <v>4</v>
      </c>
      <c r="AU32" s="8"/>
      <c r="AV32" s="7" t="s">
        <v>4</v>
      </c>
      <c r="BO32" s="8"/>
      <c r="BP32" s="7" t="s">
        <v>4</v>
      </c>
      <c r="CE32" s="8"/>
      <c r="CF32" s="7" t="s">
        <v>4</v>
      </c>
      <c r="CJ32" s="92"/>
    </row>
    <row r="33" spans="1:86">
      <c r="A33" s="315"/>
      <c r="B33" s="331" t="s">
        <v>3</v>
      </c>
      <c r="C33" s="2">
        <f>COUNTIF(J3:J22,"тучное")</f>
        <v>3</v>
      </c>
      <c r="D33" s="2">
        <f>C33*100/C28</f>
        <v>16.666666666666668</v>
      </c>
      <c r="E33" s="92"/>
      <c r="F33" s="92"/>
      <c r="G33" s="92"/>
      <c r="H33" s="92"/>
      <c r="I33" s="92"/>
      <c r="J33" s="92"/>
      <c r="K33" s="92"/>
      <c r="L33" s="92"/>
      <c r="Y33" s="3" t="s">
        <v>2</v>
      </c>
      <c r="Z33" s="2">
        <f>AA33*100/18</f>
        <v>38.888888888888886</v>
      </c>
      <c r="AA33" s="132">
        <v>7</v>
      </c>
      <c r="AB33" s="4"/>
      <c r="AU33" s="3" t="s">
        <v>2</v>
      </c>
      <c r="AV33" s="2">
        <f>AX33*100/16</f>
        <v>37.5</v>
      </c>
      <c r="AX33" s="5">
        <f>COUNTIF(AX3:AX22,5)</f>
        <v>6</v>
      </c>
      <c r="BO33" s="3" t="s">
        <v>2</v>
      </c>
      <c r="BP33" s="133">
        <f>BR33*100/16</f>
        <v>0</v>
      </c>
      <c r="BQ33" s="234"/>
      <c r="BR33" s="233">
        <v>0</v>
      </c>
      <c r="BS33" s="132"/>
      <c r="CE33" s="3" t="s">
        <v>2</v>
      </c>
      <c r="CF33" s="2">
        <f>CH33*100/16</f>
        <v>18.75</v>
      </c>
      <c r="CH33" s="5">
        <v>3</v>
      </c>
    </row>
    <row r="34" spans="1:86">
      <c r="A34" s="315"/>
      <c r="B34" s="332"/>
      <c r="C34" s="324"/>
      <c r="D34" s="324"/>
      <c r="E34" s="92"/>
      <c r="F34" s="92"/>
      <c r="G34" s="92"/>
      <c r="H34" s="92"/>
      <c r="I34" s="92"/>
      <c r="J34" s="92"/>
      <c r="K34" s="92"/>
      <c r="L34" s="92"/>
      <c r="Y34" s="3" t="s">
        <v>1</v>
      </c>
      <c r="Z34" s="2">
        <f>(Z27+Z28+Z31)/Z26*100</f>
        <v>100</v>
      </c>
      <c r="AU34" s="3" t="s">
        <v>1</v>
      </c>
      <c r="AV34" s="2">
        <f>(AV27+AV28+AV31)/AV26*100</f>
        <v>84.210526315789465</v>
      </c>
      <c r="BO34" s="3" t="s">
        <v>1</v>
      </c>
      <c r="BP34" s="2">
        <f>(BP27+BP28+BP31)/BP26*100</f>
        <v>89.473684210526315</v>
      </c>
      <c r="CE34" s="3" t="s">
        <v>1</v>
      </c>
      <c r="CF34" s="2">
        <f>(CF27+CF28+CF31)/CF26*100</f>
        <v>89.473684210526315</v>
      </c>
      <c r="CG34" s="92"/>
      <c r="CH34" s="92"/>
    </row>
    <row r="35" spans="1:86">
      <c r="A35" s="315"/>
      <c r="B35" s="332"/>
      <c r="C35" s="324"/>
      <c r="D35" s="324"/>
      <c r="E35" s="92"/>
      <c r="F35" s="92"/>
      <c r="G35" s="92"/>
      <c r="H35" s="92"/>
      <c r="I35" s="92"/>
      <c r="J35" s="92"/>
      <c r="K35" s="92"/>
      <c r="L35" s="92"/>
      <c r="Y35" s="3" t="s">
        <v>0</v>
      </c>
      <c r="Z35" s="2">
        <f>(Z27+Z28+Z29-Z30+Z31)*100/Z26</f>
        <v>100</v>
      </c>
      <c r="AU35" s="3" t="s">
        <v>0</v>
      </c>
      <c r="AV35" s="2">
        <f>(AV27+AV28+AV29-AV30+AV31)*100/AV26</f>
        <v>100</v>
      </c>
      <c r="BO35" s="3" t="s">
        <v>0</v>
      </c>
      <c r="BP35" s="2">
        <f>(BP27+BP28+BP29-BP30+BP31)*100/BP26</f>
        <v>100</v>
      </c>
      <c r="CE35" s="3" t="s">
        <v>0</v>
      </c>
      <c r="CF35" s="2">
        <f>(CF27+CF28+CF29-CF30+CF31)*100/CF26</f>
        <v>100</v>
      </c>
      <c r="CG35" s="92"/>
      <c r="CH35" s="92"/>
    </row>
    <row r="36" spans="1:86"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</row>
    <row r="37" spans="1:86"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</row>
    <row r="38" spans="1:86"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</row>
    <row r="39" spans="1:86"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</row>
    <row r="40" spans="1:86"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</row>
    <row r="41" spans="1:86"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</row>
    <row r="42" spans="1:86"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</row>
    <row r="43" spans="1:86"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</row>
    <row r="44" spans="1:86"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1:86"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</row>
    <row r="46" spans="1:86"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</row>
    <row r="47" spans="1:86"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</row>
  </sheetData>
  <mergeCells count="7">
    <mergeCell ref="BS1:CI1"/>
    <mergeCell ref="D30:D32"/>
    <mergeCell ref="B1:K1"/>
    <mergeCell ref="L1:AA1"/>
    <mergeCell ref="AB1:AQ1"/>
    <mergeCell ref="AZ1:BE1"/>
    <mergeCell ref="BF1:BN1"/>
  </mergeCells>
  <printOptions horizontalCentered="1" verticalCentered="1" gridLines="1"/>
  <pageMargins left="0.35433070866141736" right="0.35433070866141736" top="0.39370078740157483" bottom="0.39370078740157483" header="0.51181102362204722" footer="0.51181102362204722"/>
  <pageSetup paperSize="9" orientation="landscape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CI48"/>
  <sheetViews>
    <sheetView workbookViewId="0">
      <selection activeCell="M12" sqref="M12"/>
    </sheetView>
  </sheetViews>
  <sheetFormatPr defaultColWidth="8.42578125" defaultRowHeight="12.75"/>
  <cols>
    <col min="1" max="1" width="10.42578125" style="1" customWidth="1"/>
    <col min="2" max="2" width="17.85546875" style="1" customWidth="1"/>
    <col min="3" max="3" width="10.5703125" style="1" customWidth="1"/>
    <col min="4" max="4" width="9.7109375" style="1" customWidth="1"/>
    <col min="5" max="9" width="8.28515625" style="1" customWidth="1"/>
    <col min="10" max="10" width="9.7109375" style="1" customWidth="1"/>
    <col min="11" max="11" width="8.28515625" style="1" customWidth="1"/>
    <col min="12" max="12" width="17.7109375" style="1" customWidth="1"/>
    <col min="13" max="13" width="6" style="1" customWidth="1"/>
    <col min="14" max="14" width="5.42578125" style="1" customWidth="1"/>
    <col min="15" max="15" width="6.5703125" style="1" customWidth="1"/>
    <col min="16" max="16" width="5.5703125" style="1" customWidth="1"/>
    <col min="17" max="17" width="5.140625" style="1" customWidth="1"/>
    <col min="18" max="18" width="7" style="1" customWidth="1"/>
    <col min="19" max="19" width="5.140625" style="1" customWidth="1"/>
    <col min="20" max="20" width="5.7109375" style="1" customWidth="1"/>
    <col min="21" max="22" width="6" style="1" customWidth="1"/>
    <col min="23" max="23" width="5" style="1" customWidth="1"/>
    <col min="24" max="24" width="6.42578125" style="1" customWidth="1"/>
    <col min="25" max="25" width="9.28515625" style="1" customWidth="1"/>
    <col min="26" max="27" width="6.85546875" style="1" customWidth="1"/>
    <col min="28" max="28" width="17.42578125" style="1" customWidth="1"/>
    <col min="29" max="46" width="5.7109375" style="1" customWidth="1"/>
    <col min="47" max="47" width="9.28515625" style="1" customWidth="1"/>
    <col min="48" max="48" width="6.7109375" style="1" customWidth="1"/>
    <col min="49" max="50" width="6.28515625" style="1" customWidth="1"/>
    <col min="51" max="51" width="18.140625" style="1" customWidth="1"/>
    <col min="52" max="66" width="5.7109375" style="1" customWidth="1"/>
    <col min="67" max="67" width="10.140625" style="1" customWidth="1"/>
    <col min="68" max="68" width="6.5703125" style="1" customWidth="1"/>
    <col min="69" max="82" width="5.7109375" style="1" customWidth="1"/>
    <col min="83" max="83" width="10.42578125" style="1" customWidth="1"/>
    <col min="84" max="84" width="6.7109375" style="1" customWidth="1"/>
    <col min="85" max="86" width="6.140625" style="1" customWidth="1"/>
    <col min="87" max="87" width="17.28515625" style="1" customWidth="1"/>
    <col min="88" max="258" width="8.42578125" style="1"/>
    <col min="259" max="259" width="10.42578125" style="1" customWidth="1"/>
    <col min="260" max="260" width="17.85546875" style="1" customWidth="1"/>
    <col min="261" max="261" width="10.5703125" style="1" customWidth="1"/>
    <col min="262" max="262" width="9.7109375" style="1" customWidth="1"/>
    <col min="263" max="267" width="8.28515625" style="1" customWidth="1"/>
    <col min="268" max="268" width="9.7109375" style="1" customWidth="1"/>
    <col min="269" max="269" width="8.28515625" style="1" customWidth="1"/>
    <col min="270" max="270" width="17.7109375" style="1" customWidth="1"/>
    <col min="271" max="271" width="6" style="1" customWidth="1"/>
    <col min="272" max="272" width="5.42578125" style="1" customWidth="1"/>
    <col min="273" max="273" width="6.5703125" style="1" customWidth="1"/>
    <col min="274" max="274" width="5.5703125" style="1" customWidth="1"/>
    <col min="275" max="275" width="5.140625" style="1" customWidth="1"/>
    <col min="276" max="276" width="7" style="1" customWidth="1"/>
    <col min="277" max="277" width="5.140625" style="1" customWidth="1"/>
    <col min="278" max="278" width="5.7109375" style="1" customWidth="1"/>
    <col min="279" max="280" width="6" style="1" customWidth="1"/>
    <col min="281" max="281" width="5" style="1" customWidth="1"/>
    <col min="282" max="282" width="6.42578125" style="1" customWidth="1"/>
    <col min="283" max="283" width="9.28515625" style="1" customWidth="1"/>
    <col min="284" max="285" width="6.85546875" style="1" customWidth="1"/>
    <col min="286" max="286" width="17.42578125" style="1" customWidth="1"/>
    <col min="287" max="304" width="5.7109375" style="1" customWidth="1"/>
    <col min="305" max="305" width="9.28515625" style="1" customWidth="1"/>
    <col min="306" max="306" width="6.7109375" style="1" customWidth="1"/>
    <col min="307" max="308" width="6.28515625" style="1" customWidth="1"/>
    <col min="309" max="309" width="18.140625" style="1" customWidth="1"/>
    <col min="310" max="324" width="5.7109375" style="1" customWidth="1"/>
    <col min="325" max="325" width="10.140625" style="1" customWidth="1"/>
    <col min="326" max="326" width="6.5703125" style="1" customWidth="1"/>
    <col min="327" max="339" width="5.7109375" style="1" customWidth="1"/>
    <col min="340" max="340" width="10.42578125" style="1" customWidth="1"/>
    <col min="341" max="341" width="6.7109375" style="1" customWidth="1"/>
    <col min="342" max="342" width="6.140625" style="1" customWidth="1"/>
    <col min="343" max="343" width="17.28515625" style="1" customWidth="1"/>
    <col min="344" max="514" width="8.42578125" style="1"/>
    <col min="515" max="515" width="10.42578125" style="1" customWidth="1"/>
    <col min="516" max="516" width="17.85546875" style="1" customWidth="1"/>
    <col min="517" max="517" width="10.5703125" style="1" customWidth="1"/>
    <col min="518" max="518" width="9.7109375" style="1" customWidth="1"/>
    <col min="519" max="523" width="8.28515625" style="1" customWidth="1"/>
    <col min="524" max="524" width="9.7109375" style="1" customWidth="1"/>
    <col min="525" max="525" width="8.28515625" style="1" customWidth="1"/>
    <col min="526" max="526" width="17.7109375" style="1" customWidth="1"/>
    <col min="527" max="527" width="6" style="1" customWidth="1"/>
    <col min="528" max="528" width="5.42578125" style="1" customWidth="1"/>
    <col min="529" max="529" width="6.5703125" style="1" customWidth="1"/>
    <col min="530" max="530" width="5.5703125" style="1" customWidth="1"/>
    <col min="531" max="531" width="5.140625" style="1" customWidth="1"/>
    <col min="532" max="532" width="7" style="1" customWidth="1"/>
    <col min="533" max="533" width="5.140625" style="1" customWidth="1"/>
    <col min="534" max="534" width="5.7109375" style="1" customWidth="1"/>
    <col min="535" max="536" width="6" style="1" customWidth="1"/>
    <col min="537" max="537" width="5" style="1" customWidth="1"/>
    <col min="538" max="538" width="6.42578125" style="1" customWidth="1"/>
    <col min="539" max="539" width="9.28515625" style="1" customWidth="1"/>
    <col min="540" max="541" width="6.85546875" style="1" customWidth="1"/>
    <col min="542" max="542" width="17.42578125" style="1" customWidth="1"/>
    <col min="543" max="560" width="5.7109375" style="1" customWidth="1"/>
    <col min="561" max="561" width="9.28515625" style="1" customWidth="1"/>
    <col min="562" max="562" width="6.7109375" style="1" customWidth="1"/>
    <col min="563" max="564" width="6.28515625" style="1" customWidth="1"/>
    <col min="565" max="565" width="18.140625" style="1" customWidth="1"/>
    <col min="566" max="580" width="5.7109375" style="1" customWidth="1"/>
    <col min="581" max="581" width="10.140625" style="1" customWidth="1"/>
    <col min="582" max="582" width="6.5703125" style="1" customWidth="1"/>
    <col min="583" max="595" width="5.7109375" style="1" customWidth="1"/>
    <col min="596" max="596" width="10.42578125" style="1" customWidth="1"/>
    <col min="597" max="597" width="6.7109375" style="1" customWidth="1"/>
    <col min="598" max="598" width="6.140625" style="1" customWidth="1"/>
    <col min="599" max="599" width="17.28515625" style="1" customWidth="1"/>
    <col min="600" max="770" width="8.42578125" style="1"/>
    <col min="771" max="771" width="10.42578125" style="1" customWidth="1"/>
    <col min="772" max="772" width="17.85546875" style="1" customWidth="1"/>
    <col min="773" max="773" width="10.5703125" style="1" customWidth="1"/>
    <col min="774" max="774" width="9.7109375" style="1" customWidth="1"/>
    <col min="775" max="779" width="8.28515625" style="1" customWidth="1"/>
    <col min="780" max="780" width="9.7109375" style="1" customWidth="1"/>
    <col min="781" max="781" width="8.28515625" style="1" customWidth="1"/>
    <col min="782" max="782" width="17.7109375" style="1" customWidth="1"/>
    <col min="783" max="783" width="6" style="1" customWidth="1"/>
    <col min="784" max="784" width="5.42578125" style="1" customWidth="1"/>
    <col min="785" max="785" width="6.5703125" style="1" customWidth="1"/>
    <col min="786" max="786" width="5.5703125" style="1" customWidth="1"/>
    <col min="787" max="787" width="5.140625" style="1" customWidth="1"/>
    <col min="788" max="788" width="7" style="1" customWidth="1"/>
    <col min="789" max="789" width="5.140625" style="1" customWidth="1"/>
    <col min="790" max="790" width="5.7109375" style="1" customWidth="1"/>
    <col min="791" max="792" width="6" style="1" customWidth="1"/>
    <col min="793" max="793" width="5" style="1" customWidth="1"/>
    <col min="794" max="794" width="6.42578125" style="1" customWidth="1"/>
    <col min="795" max="795" width="9.28515625" style="1" customWidth="1"/>
    <col min="796" max="797" width="6.85546875" style="1" customWidth="1"/>
    <col min="798" max="798" width="17.42578125" style="1" customWidth="1"/>
    <col min="799" max="816" width="5.7109375" style="1" customWidth="1"/>
    <col min="817" max="817" width="9.28515625" style="1" customWidth="1"/>
    <col min="818" max="818" width="6.7109375" style="1" customWidth="1"/>
    <col min="819" max="820" width="6.28515625" style="1" customWidth="1"/>
    <col min="821" max="821" width="18.140625" style="1" customWidth="1"/>
    <col min="822" max="836" width="5.7109375" style="1" customWidth="1"/>
    <col min="837" max="837" width="10.140625" style="1" customWidth="1"/>
    <col min="838" max="838" width="6.5703125" style="1" customWidth="1"/>
    <col min="839" max="851" width="5.7109375" style="1" customWidth="1"/>
    <col min="852" max="852" width="10.42578125" style="1" customWidth="1"/>
    <col min="853" max="853" width="6.7109375" style="1" customWidth="1"/>
    <col min="854" max="854" width="6.140625" style="1" customWidth="1"/>
    <col min="855" max="855" width="17.28515625" style="1" customWidth="1"/>
    <col min="856" max="1026" width="8.42578125" style="1"/>
    <col min="1027" max="1027" width="10.42578125" style="1" customWidth="1"/>
    <col min="1028" max="1028" width="17.85546875" style="1" customWidth="1"/>
    <col min="1029" max="1029" width="10.5703125" style="1" customWidth="1"/>
    <col min="1030" max="1030" width="9.7109375" style="1" customWidth="1"/>
    <col min="1031" max="1035" width="8.28515625" style="1" customWidth="1"/>
    <col min="1036" max="1036" width="9.7109375" style="1" customWidth="1"/>
    <col min="1037" max="1037" width="8.28515625" style="1" customWidth="1"/>
    <col min="1038" max="1038" width="17.7109375" style="1" customWidth="1"/>
    <col min="1039" max="1039" width="6" style="1" customWidth="1"/>
    <col min="1040" max="1040" width="5.42578125" style="1" customWidth="1"/>
    <col min="1041" max="1041" width="6.5703125" style="1" customWidth="1"/>
    <col min="1042" max="1042" width="5.5703125" style="1" customWidth="1"/>
    <col min="1043" max="1043" width="5.140625" style="1" customWidth="1"/>
    <col min="1044" max="1044" width="7" style="1" customWidth="1"/>
    <col min="1045" max="1045" width="5.140625" style="1" customWidth="1"/>
    <col min="1046" max="1046" width="5.7109375" style="1" customWidth="1"/>
    <col min="1047" max="1048" width="6" style="1" customWidth="1"/>
    <col min="1049" max="1049" width="5" style="1" customWidth="1"/>
    <col min="1050" max="1050" width="6.42578125" style="1" customWidth="1"/>
    <col min="1051" max="1051" width="9.28515625" style="1" customWidth="1"/>
    <col min="1052" max="1053" width="6.85546875" style="1" customWidth="1"/>
    <col min="1054" max="1054" width="17.42578125" style="1" customWidth="1"/>
    <col min="1055" max="1072" width="5.7109375" style="1" customWidth="1"/>
    <col min="1073" max="1073" width="9.28515625" style="1" customWidth="1"/>
    <col min="1074" max="1074" width="6.7109375" style="1" customWidth="1"/>
    <col min="1075" max="1076" width="6.28515625" style="1" customWidth="1"/>
    <col min="1077" max="1077" width="18.140625" style="1" customWidth="1"/>
    <col min="1078" max="1092" width="5.7109375" style="1" customWidth="1"/>
    <col min="1093" max="1093" width="10.140625" style="1" customWidth="1"/>
    <col min="1094" max="1094" width="6.5703125" style="1" customWidth="1"/>
    <col min="1095" max="1107" width="5.7109375" style="1" customWidth="1"/>
    <col min="1108" max="1108" width="10.42578125" style="1" customWidth="1"/>
    <col min="1109" max="1109" width="6.7109375" style="1" customWidth="1"/>
    <col min="1110" max="1110" width="6.140625" style="1" customWidth="1"/>
    <col min="1111" max="1111" width="17.28515625" style="1" customWidth="1"/>
    <col min="1112" max="1282" width="8.42578125" style="1"/>
    <col min="1283" max="1283" width="10.42578125" style="1" customWidth="1"/>
    <col min="1284" max="1284" width="17.85546875" style="1" customWidth="1"/>
    <col min="1285" max="1285" width="10.5703125" style="1" customWidth="1"/>
    <col min="1286" max="1286" width="9.7109375" style="1" customWidth="1"/>
    <col min="1287" max="1291" width="8.28515625" style="1" customWidth="1"/>
    <col min="1292" max="1292" width="9.7109375" style="1" customWidth="1"/>
    <col min="1293" max="1293" width="8.28515625" style="1" customWidth="1"/>
    <col min="1294" max="1294" width="17.7109375" style="1" customWidth="1"/>
    <col min="1295" max="1295" width="6" style="1" customWidth="1"/>
    <col min="1296" max="1296" width="5.42578125" style="1" customWidth="1"/>
    <col min="1297" max="1297" width="6.5703125" style="1" customWidth="1"/>
    <col min="1298" max="1298" width="5.5703125" style="1" customWidth="1"/>
    <col min="1299" max="1299" width="5.140625" style="1" customWidth="1"/>
    <col min="1300" max="1300" width="7" style="1" customWidth="1"/>
    <col min="1301" max="1301" width="5.140625" style="1" customWidth="1"/>
    <col min="1302" max="1302" width="5.7109375" style="1" customWidth="1"/>
    <col min="1303" max="1304" width="6" style="1" customWidth="1"/>
    <col min="1305" max="1305" width="5" style="1" customWidth="1"/>
    <col min="1306" max="1306" width="6.42578125" style="1" customWidth="1"/>
    <col min="1307" max="1307" width="9.28515625" style="1" customWidth="1"/>
    <col min="1308" max="1309" width="6.85546875" style="1" customWidth="1"/>
    <col min="1310" max="1310" width="17.42578125" style="1" customWidth="1"/>
    <col min="1311" max="1328" width="5.7109375" style="1" customWidth="1"/>
    <col min="1329" max="1329" width="9.28515625" style="1" customWidth="1"/>
    <col min="1330" max="1330" width="6.7109375" style="1" customWidth="1"/>
    <col min="1331" max="1332" width="6.28515625" style="1" customWidth="1"/>
    <col min="1333" max="1333" width="18.140625" style="1" customWidth="1"/>
    <col min="1334" max="1348" width="5.7109375" style="1" customWidth="1"/>
    <col min="1349" max="1349" width="10.140625" style="1" customWidth="1"/>
    <col min="1350" max="1350" width="6.5703125" style="1" customWidth="1"/>
    <col min="1351" max="1363" width="5.7109375" style="1" customWidth="1"/>
    <col min="1364" max="1364" width="10.42578125" style="1" customWidth="1"/>
    <col min="1365" max="1365" width="6.7109375" style="1" customWidth="1"/>
    <col min="1366" max="1366" width="6.140625" style="1" customWidth="1"/>
    <col min="1367" max="1367" width="17.28515625" style="1" customWidth="1"/>
    <col min="1368" max="1538" width="8.42578125" style="1"/>
    <col min="1539" max="1539" width="10.42578125" style="1" customWidth="1"/>
    <col min="1540" max="1540" width="17.85546875" style="1" customWidth="1"/>
    <col min="1541" max="1541" width="10.5703125" style="1" customWidth="1"/>
    <col min="1542" max="1542" width="9.7109375" style="1" customWidth="1"/>
    <col min="1543" max="1547" width="8.28515625" style="1" customWidth="1"/>
    <col min="1548" max="1548" width="9.7109375" style="1" customWidth="1"/>
    <col min="1549" max="1549" width="8.28515625" style="1" customWidth="1"/>
    <col min="1550" max="1550" width="17.7109375" style="1" customWidth="1"/>
    <col min="1551" max="1551" width="6" style="1" customWidth="1"/>
    <col min="1552" max="1552" width="5.42578125" style="1" customWidth="1"/>
    <col min="1553" max="1553" width="6.5703125" style="1" customWidth="1"/>
    <col min="1554" max="1554" width="5.5703125" style="1" customWidth="1"/>
    <col min="1555" max="1555" width="5.140625" style="1" customWidth="1"/>
    <col min="1556" max="1556" width="7" style="1" customWidth="1"/>
    <col min="1557" max="1557" width="5.140625" style="1" customWidth="1"/>
    <col min="1558" max="1558" width="5.7109375" style="1" customWidth="1"/>
    <col min="1559" max="1560" width="6" style="1" customWidth="1"/>
    <col min="1561" max="1561" width="5" style="1" customWidth="1"/>
    <col min="1562" max="1562" width="6.42578125" style="1" customWidth="1"/>
    <col min="1563" max="1563" width="9.28515625" style="1" customWidth="1"/>
    <col min="1564" max="1565" width="6.85546875" style="1" customWidth="1"/>
    <col min="1566" max="1566" width="17.42578125" style="1" customWidth="1"/>
    <col min="1567" max="1584" width="5.7109375" style="1" customWidth="1"/>
    <col min="1585" max="1585" width="9.28515625" style="1" customWidth="1"/>
    <col min="1586" max="1586" width="6.7109375" style="1" customWidth="1"/>
    <col min="1587" max="1588" width="6.28515625" style="1" customWidth="1"/>
    <col min="1589" max="1589" width="18.140625" style="1" customWidth="1"/>
    <col min="1590" max="1604" width="5.7109375" style="1" customWidth="1"/>
    <col min="1605" max="1605" width="10.140625" style="1" customWidth="1"/>
    <col min="1606" max="1606" width="6.5703125" style="1" customWidth="1"/>
    <col min="1607" max="1619" width="5.7109375" style="1" customWidth="1"/>
    <col min="1620" max="1620" width="10.42578125" style="1" customWidth="1"/>
    <col min="1621" max="1621" width="6.7109375" style="1" customWidth="1"/>
    <col min="1622" max="1622" width="6.140625" style="1" customWidth="1"/>
    <col min="1623" max="1623" width="17.28515625" style="1" customWidth="1"/>
    <col min="1624" max="1794" width="8.42578125" style="1"/>
    <col min="1795" max="1795" width="10.42578125" style="1" customWidth="1"/>
    <col min="1796" max="1796" width="17.85546875" style="1" customWidth="1"/>
    <col min="1797" max="1797" width="10.5703125" style="1" customWidth="1"/>
    <col min="1798" max="1798" width="9.7109375" style="1" customWidth="1"/>
    <col min="1799" max="1803" width="8.28515625" style="1" customWidth="1"/>
    <col min="1804" max="1804" width="9.7109375" style="1" customWidth="1"/>
    <col min="1805" max="1805" width="8.28515625" style="1" customWidth="1"/>
    <col min="1806" max="1806" width="17.7109375" style="1" customWidth="1"/>
    <col min="1807" max="1807" width="6" style="1" customWidth="1"/>
    <col min="1808" max="1808" width="5.42578125" style="1" customWidth="1"/>
    <col min="1809" max="1809" width="6.5703125" style="1" customWidth="1"/>
    <col min="1810" max="1810" width="5.5703125" style="1" customWidth="1"/>
    <col min="1811" max="1811" width="5.140625" style="1" customWidth="1"/>
    <col min="1812" max="1812" width="7" style="1" customWidth="1"/>
    <col min="1813" max="1813" width="5.140625" style="1" customWidth="1"/>
    <col min="1814" max="1814" width="5.7109375" style="1" customWidth="1"/>
    <col min="1815" max="1816" width="6" style="1" customWidth="1"/>
    <col min="1817" max="1817" width="5" style="1" customWidth="1"/>
    <col min="1818" max="1818" width="6.42578125" style="1" customWidth="1"/>
    <col min="1819" max="1819" width="9.28515625" style="1" customWidth="1"/>
    <col min="1820" max="1821" width="6.85546875" style="1" customWidth="1"/>
    <col min="1822" max="1822" width="17.42578125" style="1" customWidth="1"/>
    <col min="1823" max="1840" width="5.7109375" style="1" customWidth="1"/>
    <col min="1841" max="1841" width="9.28515625" style="1" customWidth="1"/>
    <col min="1842" max="1842" width="6.7109375" style="1" customWidth="1"/>
    <col min="1843" max="1844" width="6.28515625" style="1" customWidth="1"/>
    <col min="1845" max="1845" width="18.140625" style="1" customWidth="1"/>
    <col min="1846" max="1860" width="5.7109375" style="1" customWidth="1"/>
    <col min="1861" max="1861" width="10.140625" style="1" customWidth="1"/>
    <col min="1862" max="1862" width="6.5703125" style="1" customWidth="1"/>
    <col min="1863" max="1875" width="5.7109375" style="1" customWidth="1"/>
    <col min="1876" max="1876" width="10.42578125" style="1" customWidth="1"/>
    <col min="1877" max="1877" width="6.7109375" style="1" customWidth="1"/>
    <col min="1878" max="1878" width="6.140625" style="1" customWidth="1"/>
    <col min="1879" max="1879" width="17.28515625" style="1" customWidth="1"/>
    <col min="1880" max="2050" width="8.42578125" style="1"/>
    <col min="2051" max="2051" width="10.42578125" style="1" customWidth="1"/>
    <col min="2052" max="2052" width="17.85546875" style="1" customWidth="1"/>
    <col min="2053" max="2053" width="10.5703125" style="1" customWidth="1"/>
    <col min="2054" max="2054" width="9.7109375" style="1" customWidth="1"/>
    <col min="2055" max="2059" width="8.28515625" style="1" customWidth="1"/>
    <col min="2060" max="2060" width="9.7109375" style="1" customWidth="1"/>
    <col min="2061" max="2061" width="8.28515625" style="1" customWidth="1"/>
    <col min="2062" max="2062" width="17.7109375" style="1" customWidth="1"/>
    <col min="2063" max="2063" width="6" style="1" customWidth="1"/>
    <col min="2064" max="2064" width="5.42578125" style="1" customWidth="1"/>
    <col min="2065" max="2065" width="6.5703125" style="1" customWidth="1"/>
    <col min="2066" max="2066" width="5.5703125" style="1" customWidth="1"/>
    <col min="2067" max="2067" width="5.140625" style="1" customWidth="1"/>
    <col min="2068" max="2068" width="7" style="1" customWidth="1"/>
    <col min="2069" max="2069" width="5.140625" style="1" customWidth="1"/>
    <col min="2070" max="2070" width="5.7109375" style="1" customWidth="1"/>
    <col min="2071" max="2072" width="6" style="1" customWidth="1"/>
    <col min="2073" max="2073" width="5" style="1" customWidth="1"/>
    <col min="2074" max="2074" width="6.42578125" style="1" customWidth="1"/>
    <col min="2075" max="2075" width="9.28515625" style="1" customWidth="1"/>
    <col min="2076" max="2077" width="6.85546875" style="1" customWidth="1"/>
    <col min="2078" max="2078" width="17.42578125" style="1" customWidth="1"/>
    <col min="2079" max="2096" width="5.7109375" style="1" customWidth="1"/>
    <col min="2097" max="2097" width="9.28515625" style="1" customWidth="1"/>
    <col min="2098" max="2098" width="6.7109375" style="1" customWidth="1"/>
    <col min="2099" max="2100" width="6.28515625" style="1" customWidth="1"/>
    <col min="2101" max="2101" width="18.140625" style="1" customWidth="1"/>
    <col min="2102" max="2116" width="5.7109375" style="1" customWidth="1"/>
    <col min="2117" max="2117" width="10.140625" style="1" customWidth="1"/>
    <col min="2118" max="2118" width="6.5703125" style="1" customWidth="1"/>
    <col min="2119" max="2131" width="5.7109375" style="1" customWidth="1"/>
    <col min="2132" max="2132" width="10.42578125" style="1" customWidth="1"/>
    <col min="2133" max="2133" width="6.7109375" style="1" customWidth="1"/>
    <col min="2134" max="2134" width="6.140625" style="1" customWidth="1"/>
    <col min="2135" max="2135" width="17.28515625" style="1" customWidth="1"/>
    <col min="2136" max="2306" width="8.42578125" style="1"/>
    <col min="2307" max="2307" width="10.42578125" style="1" customWidth="1"/>
    <col min="2308" max="2308" width="17.85546875" style="1" customWidth="1"/>
    <col min="2309" max="2309" width="10.5703125" style="1" customWidth="1"/>
    <col min="2310" max="2310" width="9.7109375" style="1" customWidth="1"/>
    <col min="2311" max="2315" width="8.28515625" style="1" customWidth="1"/>
    <col min="2316" max="2316" width="9.7109375" style="1" customWidth="1"/>
    <col min="2317" max="2317" width="8.28515625" style="1" customWidth="1"/>
    <col min="2318" max="2318" width="17.7109375" style="1" customWidth="1"/>
    <col min="2319" max="2319" width="6" style="1" customWidth="1"/>
    <col min="2320" max="2320" width="5.42578125" style="1" customWidth="1"/>
    <col min="2321" max="2321" width="6.5703125" style="1" customWidth="1"/>
    <col min="2322" max="2322" width="5.5703125" style="1" customWidth="1"/>
    <col min="2323" max="2323" width="5.140625" style="1" customWidth="1"/>
    <col min="2324" max="2324" width="7" style="1" customWidth="1"/>
    <col min="2325" max="2325" width="5.140625" style="1" customWidth="1"/>
    <col min="2326" max="2326" width="5.7109375" style="1" customWidth="1"/>
    <col min="2327" max="2328" width="6" style="1" customWidth="1"/>
    <col min="2329" max="2329" width="5" style="1" customWidth="1"/>
    <col min="2330" max="2330" width="6.42578125" style="1" customWidth="1"/>
    <col min="2331" max="2331" width="9.28515625" style="1" customWidth="1"/>
    <col min="2332" max="2333" width="6.85546875" style="1" customWidth="1"/>
    <col min="2334" max="2334" width="17.42578125" style="1" customWidth="1"/>
    <col min="2335" max="2352" width="5.7109375" style="1" customWidth="1"/>
    <col min="2353" max="2353" width="9.28515625" style="1" customWidth="1"/>
    <col min="2354" max="2354" width="6.7109375" style="1" customWidth="1"/>
    <col min="2355" max="2356" width="6.28515625" style="1" customWidth="1"/>
    <col min="2357" max="2357" width="18.140625" style="1" customWidth="1"/>
    <col min="2358" max="2372" width="5.7109375" style="1" customWidth="1"/>
    <col min="2373" max="2373" width="10.140625" style="1" customWidth="1"/>
    <col min="2374" max="2374" width="6.5703125" style="1" customWidth="1"/>
    <col min="2375" max="2387" width="5.7109375" style="1" customWidth="1"/>
    <col min="2388" max="2388" width="10.42578125" style="1" customWidth="1"/>
    <col min="2389" max="2389" width="6.7109375" style="1" customWidth="1"/>
    <col min="2390" max="2390" width="6.140625" style="1" customWidth="1"/>
    <col min="2391" max="2391" width="17.28515625" style="1" customWidth="1"/>
    <col min="2392" max="2562" width="8.42578125" style="1"/>
    <col min="2563" max="2563" width="10.42578125" style="1" customWidth="1"/>
    <col min="2564" max="2564" width="17.85546875" style="1" customWidth="1"/>
    <col min="2565" max="2565" width="10.5703125" style="1" customWidth="1"/>
    <col min="2566" max="2566" width="9.7109375" style="1" customWidth="1"/>
    <col min="2567" max="2571" width="8.28515625" style="1" customWidth="1"/>
    <col min="2572" max="2572" width="9.7109375" style="1" customWidth="1"/>
    <col min="2573" max="2573" width="8.28515625" style="1" customWidth="1"/>
    <col min="2574" max="2574" width="17.7109375" style="1" customWidth="1"/>
    <col min="2575" max="2575" width="6" style="1" customWidth="1"/>
    <col min="2576" max="2576" width="5.42578125" style="1" customWidth="1"/>
    <col min="2577" max="2577" width="6.5703125" style="1" customWidth="1"/>
    <col min="2578" max="2578" width="5.5703125" style="1" customWidth="1"/>
    <col min="2579" max="2579" width="5.140625" style="1" customWidth="1"/>
    <col min="2580" max="2580" width="7" style="1" customWidth="1"/>
    <col min="2581" max="2581" width="5.140625" style="1" customWidth="1"/>
    <col min="2582" max="2582" width="5.7109375" style="1" customWidth="1"/>
    <col min="2583" max="2584" width="6" style="1" customWidth="1"/>
    <col min="2585" max="2585" width="5" style="1" customWidth="1"/>
    <col min="2586" max="2586" width="6.42578125" style="1" customWidth="1"/>
    <col min="2587" max="2587" width="9.28515625" style="1" customWidth="1"/>
    <col min="2588" max="2589" width="6.85546875" style="1" customWidth="1"/>
    <col min="2590" max="2590" width="17.42578125" style="1" customWidth="1"/>
    <col min="2591" max="2608" width="5.7109375" style="1" customWidth="1"/>
    <col min="2609" max="2609" width="9.28515625" style="1" customWidth="1"/>
    <col min="2610" max="2610" width="6.7109375" style="1" customWidth="1"/>
    <col min="2611" max="2612" width="6.28515625" style="1" customWidth="1"/>
    <col min="2613" max="2613" width="18.140625" style="1" customWidth="1"/>
    <col min="2614" max="2628" width="5.7109375" style="1" customWidth="1"/>
    <col min="2629" max="2629" width="10.140625" style="1" customWidth="1"/>
    <col min="2630" max="2630" width="6.5703125" style="1" customWidth="1"/>
    <col min="2631" max="2643" width="5.7109375" style="1" customWidth="1"/>
    <col min="2644" max="2644" width="10.42578125" style="1" customWidth="1"/>
    <col min="2645" max="2645" width="6.7109375" style="1" customWidth="1"/>
    <col min="2646" max="2646" width="6.140625" style="1" customWidth="1"/>
    <col min="2647" max="2647" width="17.28515625" style="1" customWidth="1"/>
    <col min="2648" max="2818" width="8.42578125" style="1"/>
    <col min="2819" max="2819" width="10.42578125" style="1" customWidth="1"/>
    <col min="2820" max="2820" width="17.85546875" style="1" customWidth="1"/>
    <col min="2821" max="2821" width="10.5703125" style="1" customWidth="1"/>
    <col min="2822" max="2822" width="9.7109375" style="1" customWidth="1"/>
    <col min="2823" max="2827" width="8.28515625" style="1" customWidth="1"/>
    <col min="2828" max="2828" width="9.7109375" style="1" customWidth="1"/>
    <col min="2829" max="2829" width="8.28515625" style="1" customWidth="1"/>
    <col min="2830" max="2830" width="17.7109375" style="1" customWidth="1"/>
    <col min="2831" max="2831" width="6" style="1" customWidth="1"/>
    <col min="2832" max="2832" width="5.42578125" style="1" customWidth="1"/>
    <col min="2833" max="2833" width="6.5703125" style="1" customWidth="1"/>
    <col min="2834" max="2834" width="5.5703125" style="1" customWidth="1"/>
    <col min="2835" max="2835" width="5.140625" style="1" customWidth="1"/>
    <col min="2836" max="2836" width="7" style="1" customWidth="1"/>
    <col min="2837" max="2837" width="5.140625" style="1" customWidth="1"/>
    <col min="2838" max="2838" width="5.7109375" style="1" customWidth="1"/>
    <col min="2839" max="2840" width="6" style="1" customWidth="1"/>
    <col min="2841" max="2841" width="5" style="1" customWidth="1"/>
    <col min="2842" max="2842" width="6.42578125" style="1" customWidth="1"/>
    <col min="2843" max="2843" width="9.28515625" style="1" customWidth="1"/>
    <col min="2844" max="2845" width="6.85546875" style="1" customWidth="1"/>
    <col min="2846" max="2846" width="17.42578125" style="1" customWidth="1"/>
    <col min="2847" max="2864" width="5.7109375" style="1" customWidth="1"/>
    <col min="2865" max="2865" width="9.28515625" style="1" customWidth="1"/>
    <col min="2866" max="2866" width="6.7109375" style="1" customWidth="1"/>
    <col min="2867" max="2868" width="6.28515625" style="1" customWidth="1"/>
    <col min="2869" max="2869" width="18.140625" style="1" customWidth="1"/>
    <col min="2870" max="2884" width="5.7109375" style="1" customWidth="1"/>
    <col min="2885" max="2885" width="10.140625" style="1" customWidth="1"/>
    <col min="2886" max="2886" width="6.5703125" style="1" customWidth="1"/>
    <col min="2887" max="2899" width="5.7109375" style="1" customWidth="1"/>
    <col min="2900" max="2900" width="10.42578125" style="1" customWidth="1"/>
    <col min="2901" max="2901" width="6.7109375" style="1" customWidth="1"/>
    <col min="2902" max="2902" width="6.140625" style="1" customWidth="1"/>
    <col min="2903" max="2903" width="17.28515625" style="1" customWidth="1"/>
    <col min="2904" max="3074" width="8.42578125" style="1"/>
    <col min="3075" max="3075" width="10.42578125" style="1" customWidth="1"/>
    <col min="3076" max="3076" width="17.85546875" style="1" customWidth="1"/>
    <col min="3077" max="3077" width="10.5703125" style="1" customWidth="1"/>
    <col min="3078" max="3078" width="9.7109375" style="1" customWidth="1"/>
    <col min="3079" max="3083" width="8.28515625" style="1" customWidth="1"/>
    <col min="3084" max="3084" width="9.7109375" style="1" customWidth="1"/>
    <col min="3085" max="3085" width="8.28515625" style="1" customWidth="1"/>
    <col min="3086" max="3086" width="17.7109375" style="1" customWidth="1"/>
    <col min="3087" max="3087" width="6" style="1" customWidth="1"/>
    <col min="3088" max="3088" width="5.42578125" style="1" customWidth="1"/>
    <col min="3089" max="3089" width="6.5703125" style="1" customWidth="1"/>
    <col min="3090" max="3090" width="5.5703125" style="1" customWidth="1"/>
    <col min="3091" max="3091" width="5.140625" style="1" customWidth="1"/>
    <col min="3092" max="3092" width="7" style="1" customWidth="1"/>
    <col min="3093" max="3093" width="5.140625" style="1" customWidth="1"/>
    <col min="3094" max="3094" width="5.7109375" style="1" customWidth="1"/>
    <col min="3095" max="3096" width="6" style="1" customWidth="1"/>
    <col min="3097" max="3097" width="5" style="1" customWidth="1"/>
    <col min="3098" max="3098" width="6.42578125" style="1" customWidth="1"/>
    <col min="3099" max="3099" width="9.28515625" style="1" customWidth="1"/>
    <col min="3100" max="3101" width="6.85546875" style="1" customWidth="1"/>
    <col min="3102" max="3102" width="17.42578125" style="1" customWidth="1"/>
    <col min="3103" max="3120" width="5.7109375" style="1" customWidth="1"/>
    <col min="3121" max="3121" width="9.28515625" style="1" customWidth="1"/>
    <col min="3122" max="3122" width="6.7109375" style="1" customWidth="1"/>
    <col min="3123" max="3124" width="6.28515625" style="1" customWidth="1"/>
    <col min="3125" max="3125" width="18.140625" style="1" customWidth="1"/>
    <col min="3126" max="3140" width="5.7109375" style="1" customWidth="1"/>
    <col min="3141" max="3141" width="10.140625" style="1" customWidth="1"/>
    <col min="3142" max="3142" width="6.5703125" style="1" customWidth="1"/>
    <col min="3143" max="3155" width="5.7109375" style="1" customWidth="1"/>
    <col min="3156" max="3156" width="10.42578125" style="1" customWidth="1"/>
    <col min="3157" max="3157" width="6.7109375" style="1" customWidth="1"/>
    <col min="3158" max="3158" width="6.140625" style="1" customWidth="1"/>
    <col min="3159" max="3159" width="17.28515625" style="1" customWidth="1"/>
    <col min="3160" max="3330" width="8.42578125" style="1"/>
    <col min="3331" max="3331" width="10.42578125" style="1" customWidth="1"/>
    <col min="3332" max="3332" width="17.85546875" style="1" customWidth="1"/>
    <col min="3333" max="3333" width="10.5703125" style="1" customWidth="1"/>
    <col min="3334" max="3334" width="9.7109375" style="1" customWidth="1"/>
    <col min="3335" max="3339" width="8.28515625" style="1" customWidth="1"/>
    <col min="3340" max="3340" width="9.7109375" style="1" customWidth="1"/>
    <col min="3341" max="3341" width="8.28515625" style="1" customWidth="1"/>
    <col min="3342" max="3342" width="17.7109375" style="1" customWidth="1"/>
    <col min="3343" max="3343" width="6" style="1" customWidth="1"/>
    <col min="3344" max="3344" width="5.42578125" style="1" customWidth="1"/>
    <col min="3345" max="3345" width="6.5703125" style="1" customWidth="1"/>
    <col min="3346" max="3346" width="5.5703125" style="1" customWidth="1"/>
    <col min="3347" max="3347" width="5.140625" style="1" customWidth="1"/>
    <col min="3348" max="3348" width="7" style="1" customWidth="1"/>
    <col min="3349" max="3349" width="5.140625" style="1" customWidth="1"/>
    <col min="3350" max="3350" width="5.7109375" style="1" customWidth="1"/>
    <col min="3351" max="3352" width="6" style="1" customWidth="1"/>
    <col min="3353" max="3353" width="5" style="1" customWidth="1"/>
    <col min="3354" max="3354" width="6.42578125" style="1" customWidth="1"/>
    <col min="3355" max="3355" width="9.28515625" style="1" customWidth="1"/>
    <col min="3356" max="3357" width="6.85546875" style="1" customWidth="1"/>
    <col min="3358" max="3358" width="17.42578125" style="1" customWidth="1"/>
    <col min="3359" max="3376" width="5.7109375" style="1" customWidth="1"/>
    <col min="3377" max="3377" width="9.28515625" style="1" customWidth="1"/>
    <col min="3378" max="3378" width="6.7109375" style="1" customWidth="1"/>
    <col min="3379" max="3380" width="6.28515625" style="1" customWidth="1"/>
    <col min="3381" max="3381" width="18.140625" style="1" customWidth="1"/>
    <col min="3382" max="3396" width="5.7109375" style="1" customWidth="1"/>
    <col min="3397" max="3397" width="10.140625" style="1" customWidth="1"/>
    <col min="3398" max="3398" width="6.5703125" style="1" customWidth="1"/>
    <col min="3399" max="3411" width="5.7109375" style="1" customWidth="1"/>
    <col min="3412" max="3412" width="10.42578125" style="1" customWidth="1"/>
    <col min="3413" max="3413" width="6.7109375" style="1" customWidth="1"/>
    <col min="3414" max="3414" width="6.140625" style="1" customWidth="1"/>
    <col min="3415" max="3415" width="17.28515625" style="1" customWidth="1"/>
    <col min="3416" max="3586" width="8.42578125" style="1"/>
    <col min="3587" max="3587" width="10.42578125" style="1" customWidth="1"/>
    <col min="3588" max="3588" width="17.85546875" style="1" customWidth="1"/>
    <col min="3589" max="3589" width="10.5703125" style="1" customWidth="1"/>
    <col min="3590" max="3590" width="9.7109375" style="1" customWidth="1"/>
    <col min="3591" max="3595" width="8.28515625" style="1" customWidth="1"/>
    <col min="3596" max="3596" width="9.7109375" style="1" customWidth="1"/>
    <col min="3597" max="3597" width="8.28515625" style="1" customWidth="1"/>
    <col min="3598" max="3598" width="17.7109375" style="1" customWidth="1"/>
    <col min="3599" max="3599" width="6" style="1" customWidth="1"/>
    <col min="3600" max="3600" width="5.42578125" style="1" customWidth="1"/>
    <col min="3601" max="3601" width="6.5703125" style="1" customWidth="1"/>
    <col min="3602" max="3602" width="5.5703125" style="1" customWidth="1"/>
    <col min="3603" max="3603" width="5.140625" style="1" customWidth="1"/>
    <col min="3604" max="3604" width="7" style="1" customWidth="1"/>
    <col min="3605" max="3605" width="5.140625" style="1" customWidth="1"/>
    <col min="3606" max="3606" width="5.7109375" style="1" customWidth="1"/>
    <col min="3607" max="3608" width="6" style="1" customWidth="1"/>
    <col min="3609" max="3609" width="5" style="1" customWidth="1"/>
    <col min="3610" max="3610" width="6.42578125" style="1" customWidth="1"/>
    <col min="3611" max="3611" width="9.28515625" style="1" customWidth="1"/>
    <col min="3612" max="3613" width="6.85546875" style="1" customWidth="1"/>
    <col min="3614" max="3614" width="17.42578125" style="1" customWidth="1"/>
    <col min="3615" max="3632" width="5.7109375" style="1" customWidth="1"/>
    <col min="3633" max="3633" width="9.28515625" style="1" customWidth="1"/>
    <col min="3634" max="3634" width="6.7109375" style="1" customWidth="1"/>
    <col min="3635" max="3636" width="6.28515625" style="1" customWidth="1"/>
    <col min="3637" max="3637" width="18.140625" style="1" customWidth="1"/>
    <col min="3638" max="3652" width="5.7109375" style="1" customWidth="1"/>
    <col min="3653" max="3653" width="10.140625" style="1" customWidth="1"/>
    <col min="3654" max="3654" width="6.5703125" style="1" customWidth="1"/>
    <col min="3655" max="3667" width="5.7109375" style="1" customWidth="1"/>
    <col min="3668" max="3668" width="10.42578125" style="1" customWidth="1"/>
    <col min="3669" max="3669" width="6.7109375" style="1" customWidth="1"/>
    <col min="3670" max="3670" width="6.140625" style="1" customWidth="1"/>
    <col min="3671" max="3671" width="17.28515625" style="1" customWidth="1"/>
    <col min="3672" max="3842" width="8.42578125" style="1"/>
    <col min="3843" max="3843" width="10.42578125" style="1" customWidth="1"/>
    <col min="3844" max="3844" width="17.85546875" style="1" customWidth="1"/>
    <col min="3845" max="3845" width="10.5703125" style="1" customWidth="1"/>
    <col min="3846" max="3846" width="9.7109375" style="1" customWidth="1"/>
    <col min="3847" max="3851" width="8.28515625" style="1" customWidth="1"/>
    <col min="3852" max="3852" width="9.7109375" style="1" customWidth="1"/>
    <col min="3853" max="3853" width="8.28515625" style="1" customWidth="1"/>
    <col min="3854" max="3854" width="17.7109375" style="1" customWidth="1"/>
    <col min="3855" max="3855" width="6" style="1" customWidth="1"/>
    <col min="3856" max="3856" width="5.42578125" style="1" customWidth="1"/>
    <col min="3857" max="3857" width="6.5703125" style="1" customWidth="1"/>
    <col min="3858" max="3858" width="5.5703125" style="1" customWidth="1"/>
    <col min="3859" max="3859" width="5.140625" style="1" customWidth="1"/>
    <col min="3860" max="3860" width="7" style="1" customWidth="1"/>
    <col min="3861" max="3861" width="5.140625" style="1" customWidth="1"/>
    <col min="3862" max="3862" width="5.7109375" style="1" customWidth="1"/>
    <col min="3863" max="3864" width="6" style="1" customWidth="1"/>
    <col min="3865" max="3865" width="5" style="1" customWidth="1"/>
    <col min="3866" max="3866" width="6.42578125" style="1" customWidth="1"/>
    <col min="3867" max="3867" width="9.28515625" style="1" customWidth="1"/>
    <col min="3868" max="3869" width="6.85546875" style="1" customWidth="1"/>
    <col min="3870" max="3870" width="17.42578125" style="1" customWidth="1"/>
    <col min="3871" max="3888" width="5.7109375" style="1" customWidth="1"/>
    <col min="3889" max="3889" width="9.28515625" style="1" customWidth="1"/>
    <col min="3890" max="3890" width="6.7109375" style="1" customWidth="1"/>
    <col min="3891" max="3892" width="6.28515625" style="1" customWidth="1"/>
    <col min="3893" max="3893" width="18.140625" style="1" customWidth="1"/>
    <col min="3894" max="3908" width="5.7109375" style="1" customWidth="1"/>
    <col min="3909" max="3909" width="10.140625" style="1" customWidth="1"/>
    <col min="3910" max="3910" width="6.5703125" style="1" customWidth="1"/>
    <col min="3911" max="3923" width="5.7109375" style="1" customWidth="1"/>
    <col min="3924" max="3924" width="10.42578125" style="1" customWidth="1"/>
    <col min="3925" max="3925" width="6.7109375" style="1" customWidth="1"/>
    <col min="3926" max="3926" width="6.140625" style="1" customWidth="1"/>
    <col min="3927" max="3927" width="17.28515625" style="1" customWidth="1"/>
    <col min="3928" max="4098" width="8.42578125" style="1"/>
    <col min="4099" max="4099" width="10.42578125" style="1" customWidth="1"/>
    <col min="4100" max="4100" width="17.85546875" style="1" customWidth="1"/>
    <col min="4101" max="4101" width="10.5703125" style="1" customWidth="1"/>
    <col min="4102" max="4102" width="9.7109375" style="1" customWidth="1"/>
    <col min="4103" max="4107" width="8.28515625" style="1" customWidth="1"/>
    <col min="4108" max="4108" width="9.7109375" style="1" customWidth="1"/>
    <col min="4109" max="4109" width="8.28515625" style="1" customWidth="1"/>
    <col min="4110" max="4110" width="17.7109375" style="1" customWidth="1"/>
    <col min="4111" max="4111" width="6" style="1" customWidth="1"/>
    <col min="4112" max="4112" width="5.42578125" style="1" customWidth="1"/>
    <col min="4113" max="4113" width="6.5703125" style="1" customWidth="1"/>
    <col min="4114" max="4114" width="5.5703125" style="1" customWidth="1"/>
    <col min="4115" max="4115" width="5.140625" style="1" customWidth="1"/>
    <col min="4116" max="4116" width="7" style="1" customWidth="1"/>
    <col min="4117" max="4117" width="5.140625" style="1" customWidth="1"/>
    <col min="4118" max="4118" width="5.7109375" style="1" customWidth="1"/>
    <col min="4119" max="4120" width="6" style="1" customWidth="1"/>
    <col min="4121" max="4121" width="5" style="1" customWidth="1"/>
    <col min="4122" max="4122" width="6.42578125" style="1" customWidth="1"/>
    <col min="4123" max="4123" width="9.28515625" style="1" customWidth="1"/>
    <col min="4124" max="4125" width="6.85546875" style="1" customWidth="1"/>
    <col min="4126" max="4126" width="17.42578125" style="1" customWidth="1"/>
    <col min="4127" max="4144" width="5.7109375" style="1" customWidth="1"/>
    <col min="4145" max="4145" width="9.28515625" style="1" customWidth="1"/>
    <col min="4146" max="4146" width="6.7109375" style="1" customWidth="1"/>
    <col min="4147" max="4148" width="6.28515625" style="1" customWidth="1"/>
    <col min="4149" max="4149" width="18.140625" style="1" customWidth="1"/>
    <col min="4150" max="4164" width="5.7109375" style="1" customWidth="1"/>
    <col min="4165" max="4165" width="10.140625" style="1" customWidth="1"/>
    <col min="4166" max="4166" width="6.5703125" style="1" customWidth="1"/>
    <col min="4167" max="4179" width="5.7109375" style="1" customWidth="1"/>
    <col min="4180" max="4180" width="10.42578125" style="1" customWidth="1"/>
    <col min="4181" max="4181" width="6.7109375" style="1" customWidth="1"/>
    <col min="4182" max="4182" width="6.140625" style="1" customWidth="1"/>
    <col min="4183" max="4183" width="17.28515625" style="1" customWidth="1"/>
    <col min="4184" max="4354" width="8.42578125" style="1"/>
    <col min="4355" max="4355" width="10.42578125" style="1" customWidth="1"/>
    <col min="4356" max="4356" width="17.85546875" style="1" customWidth="1"/>
    <col min="4357" max="4357" width="10.5703125" style="1" customWidth="1"/>
    <col min="4358" max="4358" width="9.7109375" style="1" customWidth="1"/>
    <col min="4359" max="4363" width="8.28515625" style="1" customWidth="1"/>
    <col min="4364" max="4364" width="9.7109375" style="1" customWidth="1"/>
    <col min="4365" max="4365" width="8.28515625" style="1" customWidth="1"/>
    <col min="4366" max="4366" width="17.7109375" style="1" customWidth="1"/>
    <col min="4367" max="4367" width="6" style="1" customWidth="1"/>
    <col min="4368" max="4368" width="5.42578125" style="1" customWidth="1"/>
    <col min="4369" max="4369" width="6.5703125" style="1" customWidth="1"/>
    <col min="4370" max="4370" width="5.5703125" style="1" customWidth="1"/>
    <col min="4371" max="4371" width="5.140625" style="1" customWidth="1"/>
    <col min="4372" max="4372" width="7" style="1" customWidth="1"/>
    <col min="4373" max="4373" width="5.140625" style="1" customWidth="1"/>
    <col min="4374" max="4374" width="5.7109375" style="1" customWidth="1"/>
    <col min="4375" max="4376" width="6" style="1" customWidth="1"/>
    <col min="4377" max="4377" width="5" style="1" customWidth="1"/>
    <col min="4378" max="4378" width="6.42578125" style="1" customWidth="1"/>
    <col min="4379" max="4379" width="9.28515625" style="1" customWidth="1"/>
    <col min="4380" max="4381" width="6.85546875" style="1" customWidth="1"/>
    <col min="4382" max="4382" width="17.42578125" style="1" customWidth="1"/>
    <col min="4383" max="4400" width="5.7109375" style="1" customWidth="1"/>
    <col min="4401" max="4401" width="9.28515625" style="1" customWidth="1"/>
    <col min="4402" max="4402" width="6.7109375" style="1" customWidth="1"/>
    <col min="4403" max="4404" width="6.28515625" style="1" customWidth="1"/>
    <col min="4405" max="4405" width="18.140625" style="1" customWidth="1"/>
    <col min="4406" max="4420" width="5.7109375" style="1" customWidth="1"/>
    <col min="4421" max="4421" width="10.140625" style="1" customWidth="1"/>
    <col min="4422" max="4422" width="6.5703125" style="1" customWidth="1"/>
    <col min="4423" max="4435" width="5.7109375" style="1" customWidth="1"/>
    <col min="4436" max="4436" width="10.42578125" style="1" customWidth="1"/>
    <col min="4437" max="4437" width="6.7109375" style="1" customWidth="1"/>
    <col min="4438" max="4438" width="6.140625" style="1" customWidth="1"/>
    <col min="4439" max="4439" width="17.28515625" style="1" customWidth="1"/>
    <col min="4440" max="4610" width="8.42578125" style="1"/>
    <col min="4611" max="4611" width="10.42578125" style="1" customWidth="1"/>
    <col min="4612" max="4612" width="17.85546875" style="1" customWidth="1"/>
    <col min="4613" max="4613" width="10.5703125" style="1" customWidth="1"/>
    <col min="4614" max="4614" width="9.7109375" style="1" customWidth="1"/>
    <col min="4615" max="4619" width="8.28515625" style="1" customWidth="1"/>
    <col min="4620" max="4620" width="9.7109375" style="1" customWidth="1"/>
    <col min="4621" max="4621" width="8.28515625" style="1" customWidth="1"/>
    <col min="4622" max="4622" width="17.7109375" style="1" customWidth="1"/>
    <col min="4623" max="4623" width="6" style="1" customWidth="1"/>
    <col min="4624" max="4624" width="5.42578125" style="1" customWidth="1"/>
    <col min="4625" max="4625" width="6.5703125" style="1" customWidth="1"/>
    <col min="4626" max="4626" width="5.5703125" style="1" customWidth="1"/>
    <col min="4627" max="4627" width="5.140625" style="1" customWidth="1"/>
    <col min="4628" max="4628" width="7" style="1" customWidth="1"/>
    <col min="4629" max="4629" width="5.140625" style="1" customWidth="1"/>
    <col min="4630" max="4630" width="5.7109375" style="1" customWidth="1"/>
    <col min="4631" max="4632" width="6" style="1" customWidth="1"/>
    <col min="4633" max="4633" width="5" style="1" customWidth="1"/>
    <col min="4634" max="4634" width="6.42578125" style="1" customWidth="1"/>
    <col min="4635" max="4635" width="9.28515625" style="1" customWidth="1"/>
    <col min="4636" max="4637" width="6.85546875" style="1" customWidth="1"/>
    <col min="4638" max="4638" width="17.42578125" style="1" customWidth="1"/>
    <col min="4639" max="4656" width="5.7109375" style="1" customWidth="1"/>
    <col min="4657" max="4657" width="9.28515625" style="1" customWidth="1"/>
    <col min="4658" max="4658" width="6.7109375" style="1" customWidth="1"/>
    <col min="4659" max="4660" width="6.28515625" style="1" customWidth="1"/>
    <col min="4661" max="4661" width="18.140625" style="1" customWidth="1"/>
    <col min="4662" max="4676" width="5.7109375" style="1" customWidth="1"/>
    <col min="4677" max="4677" width="10.140625" style="1" customWidth="1"/>
    <col min="4678" max="4678" width="6.5703125" style="1" customWidth="1"/>
    <col min="4679" max="4691" width="5.7109375" style="1" customWidth="1"/>
    <col min="4692" max="4692" width="10.42578125" style="1" customWidth="1"/>
    <col min="4693" max="4693" width="6.7109375" style="1" customWidth="1"/>
    <col min="4694" max="4694" width="6.140625" style="1" customWidth="1"/>
    <col min="4695" max="4695" width="17.28515625" style="1" customWidth="1"/>
    <col min="4696" max="4866" width="8.42578125" style="1"/>
    <col min="4867" max="4867" width="10.42578125" style="1" customWidth="1"/>
    <col min="4868" max="4868" width="17.85546875" style="1" customWidth="1"/>
    <col min="4869" max="4869" width="10.5703125" style="1" customWidth="1"/>
    <col min="4870" max="4870" width="9.7109375" style="1" customWidth="1"/>
    <col min="4871" max="4875" width="8.28515625" style="1" customWidth="1"/>
    <col min="4876" max="4876" width="9.7109375" style="1" customWidth="1"/>
    <col min="4877" max="4877" width="8.28515625" style="1" customWidth="1"/>
    <col min="4878" max="4878" width="17.7109375" style="1" customWidth="1"/>
    <col min="4879" max="4879" width="6" style="1" customWidth="1"/>
    <col min="4880" max="4880" width="5.42578125" style="1" customWidth="1"/>
    <col min="4881" max="4881" width="6.5703125" style="1" customWidth="1"/>
    <col min="4882" max="4882" width="5.5703125" style="1" customWidth="1"/>
    <col min="4883" max="4883" width="5.140625" style="1" customWidth="1"/>
    <col min="4884" max="4884" width="7" style="1" customWidth="1"/>
    <col min="4885" max="4885" width="5.140625" style="1" customWidth="1"/>
    <col min="4886" max="4886" width="5.7109375" style="1" customWidth="1"/>
    <col min="4887" max="4888" width="6" style="1" customWidth="1"/>
    <col min="4889" max="4889" width="5" style="1" customWidth="1"/>
    <col min="4890" max="4890" width="6.42578125" style="1" customWidth="1"/>
    <col min="4891" max="4891" width="9.28515625" style="1" customWidth="1"/>
    <col min="4892" max="4893" width="6.85546875" style="1" customWidth="1"/>
    <col min="4894" max="4894" width="17.42578125" style="1" customWidth="1"/>
    <col min="4895" max="4912" width="5.7109375" style="1" customWidth="1"/>
    <col min="4913" max="4913" width="9.28515625" style="1" customWidth="1"/>
    <col min="4914" max="4914" width="6.7109375" style="1" customWidth="1"/>
    <col min="4915" max="4916" width="6.28515625" style="1" customWidth="1"/>
    <col min="4917" max="4917" width="18.140625" style="1" customWidth="1"/>
    <col min="4918" max="4932" width="5.7109375" style="1" customWidth="1"/>
    <col min="4933" max="4933" width="10.140625" style="1" customWidth="1"/>
    <col min="4934" max="4934" width="6.5703125" style="1" customWidth="1"/>
    <col min="4935" max="4947" width="5.7109375" style="1" customWidth="1"/>
    <col min="4948" max="4948" width="10.42578125" style="1" customWidth="1"/>
    <col min="4949" max="4949" width="6.7109375" style="1" customWidth="1"/>
    <col min="4950" max="4950" width="6.140625" style="1" customWidth="1"/>
    <col min="4951" max="4951" width="17.28515625" style="1" customWidth="1"/>
    <col min="4952" max="5122" width="8.42578125" style="1"/>
    <col min="5123" max="5123" width="10.42578125" style="1" customWidth="1"/>
    <col min="5124" max="5124" width="17.85546875" style="1" customWidth="1"/>
    <col min="5125" max="5125" width="10.5703125" style="1" customWidth="1"/>
    <col min="5126" max="5126" width="9.7109375" style="1" customWidth="1"/>
    <col min="5127" max="5131" width="8.28515625" style="1" customWidth="1"/>
    <col min="5132" max="5132" width="9.7109375" style="1" customWidth="1"/>
    <col min="5133" max="5133" width="8.28515625" style="1" customWidth="1"/>
    <col min="5134" max="5134" width="17.7109375" style="1" customWidth="1"/>
    <col min="5135" max="5135" width="6" style="1" customWidth="1"/>
    <col min="5136" max="5136" width="5.42578125" style="1" customWidth="1"/>
    <col min="5137" max="5137" width="6.5703125" style="1" customWidth="1"/>
    <col min="5138" max="5138" width="5.5703125" style="1" customWidth="1"/>
    <col min="5139" max="5139" width="5.140625" style="1" customWidth="1"/>
    <col min="5140" max="5140" width="7" style="1" customWidth="1"/>
    <col min="5141" max="5141" width="5.140625" style="1" customWidth="1"/>
    <col min="5142" max="5142" width="5.7109375" style="1" customWidth="1"/>
    <col min="5143" max="5144" width="6" style="1" customWidth="1"/>
    <col min="5145" max="5145" width="5" style="1" customWidth="1"/>
    <col min="5146" max="5146" width="6.42578125" style="1" customWidth="1"/>
    <col min="5147" max="5147" width="9.28515625" style="1" customWidth="1"/>
    <col min="5148" max="5149" width="6.85546875" style="1" customWidth="1"/>
    <col min="5150" max="5150" width="17.42578125" style="1" customWidth="1"/>
    <col min="5151" max="5168" width="5.7109375" style="1" customWidth="1"/>
    <col min="5169" max="5169" width="9.28515625" style="1" customWidth="1"/>
    <col min="5170" max="5170" width="6.7109375" style="1" customWidth="1"/>
    <col min="5171" max="5172" width="6.28515625" style="1" customWidth="1"/>
    <col min="5173" max="5173" width="18.140625" style="1" customWidth="1"/>
    <col min="5174" max="5188" width="5.7109375" style="1" customWidth="1"/>
    <col min="5189" max="5189" width="10.140625" style="1" customWidth="1"/>
    <col min="5190" max="5190" width="6.5703125" style="1" customWidth="1"/>
    <col min="5191" max="5203" width="5.7109375" style="1" customWidth="1"/>
    <col min="5204" max="5204" width="10.42578125" style="1" customWidth="1"/>
    <col min="5205" max="5205" width="6.7109375" style="1" customWidth="1"/>
    <col min="5206" max="5206" width="6.140625" style="1" customWidth="1"/>
    <col min="5207" max="5207" width="17.28515625" style="1" customWidth="1"/>
    <col min="5208" max="5378" width="8.42578125" style="1"/>
    <col min="5379" max="5379" width="10.42578125" style="1" customWidth="1"/>
    <col min="5380" max="5380" width="17.85546875" style="1" customWidth="1"/>
    <col min="5381" max="5381" width="10.5703125" style="1" customWidth="1"/>
    <col min="5382" max="5382" width="9.7109375" style="1" customWidth="1"/>
    <col min="5383" max="5387" width="8.28515625" style="1" customWidth="1"/>
    <col min="5388" max="5388" width="9.7109375" style="1" customWidth="1"/>
    <col min="5389" max="5389" width="8.28515625" style="1" customWidth="1"/>
    <col min="5390" max="5390" width="17.7109375" style="1" customWidth="1"/>
    <col min="5391" max="5391" width="6" style="1" customWidth="1"/>
    <col min="5392" max="5392" width="5.42578125" style="1" customWidth="1"/>
    <col min="5393" max="5393" width="6.5703125" style="1" customWidth="1"/>
    <col min="5394" max="5394" width="5.5703125" style="1" customWidth="1"/>
    <col min="5395" max="5395" width="5.140625" style="1" customWidth="1"/>
    <col min="5396" max="5396" width="7" style="1" customWidth="1"/>
    <col min="5397" max="5397" width="5.140625" style="1" customWidth="1"/>
    <col min="5398" max="5398" width="5.7109375" style="1" customWidth="1"/>
    <col min="5399" max="5400" width="6" style="1" customWidth="1"/>
    <col min="5401" max="5401" width="5" style="1" customWidth="1"/>
    <col min="5402" max="5402" width="6.42578125" style="1" customWidth="1"/>
    <col min="5403" max="5403" width="9.28515625" style="1" customWidth="1"/>
    <col min="5404" max="5405" width="6.85546875" style="1" customWidth="1"/>
    <col min="5406" max="5406" width="17.42578125" style="1" customWidth="1"/>
    <col min="5407" max="5424" width="5.7109375" style="1" customWidth="1"/>
    <col min="5425" max="5425" width="9.28515625" style="1" customWidth="1"/>
    <col min="5426" max="5426" width="6.7109375" style="1" customWidth="1"/>
    <col min="5427" max="5428" width="6.28515625" style="1" customWidth="1"/>
    <col min="5429" max="5429" width="18.140625" style="1" customWidth="1"/>
    <col min="5430" max="5444" width="5.7109375" style="1" customWidth="1"/>
    <col min="5445" max="5445" width="10.140625" style="1" customWidth="1"/>
    <col min="5446" max="5446" width="6.5703125" style="1" customWidth="1"/>
    <col min="5447" max="5459" width="5.7109375" style="1" customWidth="1"/>
    <col min="5460" max="5460" width="10.42578125" style="1" customWidth="1"/>
    <col min="5461" max="5461" width="6.7109375" style="1" customWidth="1"/>
    <col min="5462" max="5462" width="6.140625" style="1" customWidth="1"/>
    <col min="5463" max="5463" width="17.28515625" style="1" customWidth="1"/>
    <col min="5464" max="5634" width="8.42578125" style="1"/>
    <col min="5635" max="5635" width="10.42578125" style="1" customWidth="1"/>
    <col min="5636" max="5636" width="17.85546875" style="1" customWidth="1"/>
    <col min="5637" max="5637" width="10.5703125" style="1" customWidth="1"/>
    <col min="5638" max="5638" width="9.7109375" style="1" customWidth="1"/>
    <col min="5639" max="5643" width="8.28515625" style="1" customWidth="1"/>
    <col min="5644" max="5644" width="9.7109375" style="1" customWidth="1"/>
    <col min="5645" max="5645" width="8.28515625" style="1" customWidth="1"/>
    <col min="5646" max="5646" width="17.7109375" style="1" customWidth="1"/>
    <col min="5647" max="5647" width="6" style="1" customWidth="1"/>
    <col min="5648" max="5648" width="5.42578125" style="1" customWidth="1"/>
    <col min="5649" max="5649" width="6.5703125" style="1" customWidth="1"/>
    <col min="5650" max="5650" width="5.5703125" style="1" customWidth="1"/>
    <col min="5651" max="5651" width="5.140625" style="1" customWidth="1"/>
    <col min="5652" max="5652" width="7" style="1" customWidth="1"/>
    <col min="5653" max="5653" width="5.140625" style="1" customWidth="1"/>
    <col min="5654" max="5654" width="5.7109375" style="1" customWidth="1"/>
    <col min="5655" max="5656" width="6" style="1" customWidth="1"/>
    <col min="5657" max="5657" width="5" style="1" customWidth="1"/>
    <col min="5658" max="5658" width="6.42578125" style="1" customWidth="1"/>
    <col min="5659" max="5659" width="9.28515625" style="1" customWidth="1"/>
    <col min="5660" max="5661" width="6.85546875" style="1" customWidth="1"/>
    <col min="5662" max="5662" width="17.42578125" style="1" customWidth="1"/>
    <col min="5663" max="5680" width="5.7109375" style="1" customWidth="1"/>
    <col min="5681" max="5681" width="9.28515625" style="1" customWidth="1"/>
    <col min="5682" max="5682" width="6.7109375" style="1" customWidth="1"/>
    <col min="5683" max="5684" width="6.28515625" style="1" customWidth="1"/>
    <col min="5685" max="5685" width="18.140625" style="1" customWidth="1"/>
    <col min="5686" max="5700" width="5.7109375" style="1" customWidth="1"/>
    <col min="5701" max="5701" width="10.140625" style="1" customWidth="1"/>
    <col min="5702" max="5702" width="6.5703125" style="1" customWidth="1"/>
    <col min="5703" max="5715" width="5.7109375" style="1" customWidth="1"/>
    <col min="5716" max="5716" width="10.42578125" style="1" customWidth="1"/>
    <col min="5717" max="5717" width="6.7109375" style="1" customWidth="1"/>
    <col min="5718" max="5718" width="6.140625" style="1" customWidth="1"/>
    <col min="5719" max="5719" width="17.28515625" style="1" customWidth="1"/>
    <col min="5720" max="5890" width="8.42578125" style="1"/>
    <col min="5891" max="5891" width="10.42578125" style="1" customWidth="1"/>
    <col min="5892" max="5892" width="17.85546875" style="1" customWidth="1"/>
    <col min="5893" max="5893" width="10.5703125" style="1" customWidth="1"/>
    <col min="5894" max="5894" width="9.7109375" style="1" customWidth="1"/>
    <col min="5895" max="5899" width="8.28515625" style="1" customWidth="1"/>
    <col min="5900" max="5900" width="9.7109375" style="1" customWidth="1"/>
    <col min="5901" max="5901" width="8.28515625" style="1" customWidth="1"/>
    <col min="5902" max="5902" width="17.7109375" style="1" customWidth="1"/>
    <col min="5903" max="5903" width="6" style="1" customWidth="1"/>
    <col min="5904" max="5904" width="5.42578125" style="1" customWidth="1"/>
    <col min="5905" max="5905" width="6.5703125" style="1" customWidth="1"/>
    <col min="5906" max="5906" width="5.5703125" style="1" customWidth="1"/>
    <col min="5907" max="5907" width="5.140625" style="1" customWidth="1"/>
    <col min="5908" max="5908" width="7" style="1" customWidth="1"/>
    <col min="5909" max="5909" width="5.140625" style="1" customWidth="1"/>
    <col min="5910" max="5910" width="5.7109375" style="1" customWidth="1"/>
    <col min="5911" max="5912" width="6" style="1" customWidth="1"/>
    <col min="5913" max="5913" width="5" style="1" customWidth="1"/>
    <col min="5914" max="5914" width="6.42578125" style="1" customWidth="1"/>
    <col min="5915" max="5915" width="9.28515625" style="1" customWidth="1"/>
    <col min="5916" max="5917" width="6.85546875" style="1" customWidth="1"/>
    <col min="5918" max="5918" width="17.42578125" style="1" customWidth="1"/>
    <col min="5919" max="5936" width="5.7109375" style="1" customWidth="1"/>
    <col min="5937" max="5937" width="9.28515625" style="1" customWidth="1"/>
    <col min="5938" max="5938" width="6.7109375" style="1" customWidth="1"/>
    <col min="5939" max="5940" width="6.28515625" style="1" customWidth="1"/>
    <col min="5941" max="5941" width="18.140625" style="1" customWidth="1"/>
    <col min="5942" max="5956" width="5.7109375" style="1" customWidth="1"/>
    <col min="5957" max="5957" width="10.140625" style="1" customWidth="1"/>
    <col min="5958" max="5958" width="6.5703125" style="1" customWidth="1"/>
    <col min="5959" max="5971" width="5.7109375" style="1" customWidth="1"/>
    <col min="5972" max="5972" width="10.42578125" style="1" customWidth="1"/>
    <col min="5973" max="5973" width="6.7109375" style="1" customWidth="1"/>
    <col min="5974" max="5974" width="6.140625" style="1" customWidth="1"/>
    <col min="5975" max="5975" width="17.28515625" style="1" customWidth="1"/>
    <col min="5976" max="6146" width="8.42578125" style="1"/>
    <col min="6147" max="6147" width="10.42578125" style="1" customWidth="1"/>
    <col min="6148" max="6148" width="17.85546875" style="1" customWidth="1"/>
    <col min="6149" max="6149" width="10.5703125" style="1" customWidth="1"/>
    <col min="6150" max="6150" width="9.7109375" style="1" customWidth="1"/>
    <col min="6151" max="6155" width="8.28515625" style="1" customWidth="1"/>
    <col min="6156" max="6156" width="9.7109375" style="1" customWidth="1"/>
    <col min="6157" max="6157" width="8.28515625" style="1" customWidth="1"/>
    <col min="6158" max="6158" width="17.7109375" style="1" customWidth="1"/>
    <col min="6159" max="6159" width="6" style="1" customWidth="1"/>
    <col min="6160" max="6160" width="5.42578125" style="1" customWidth="1"/>
    <col min="6161" max="6161" width="6.5703125" style="1" customWidth="1"/>
    <col min="6162" max="6162" width="5.5703125" style="1" customWidth="1"/>
    <col min="6163" max="6163" width="5.140625" style="1" customWidth="1"/>
    <col min="6164" max="6164" width="7" style="1" customWidth="1"/>
    <col min="6165" max="6165" width="5.140625" style="1" customWidth="1"/>
    <col min="6166" max="6166" width="5.7109375" style="1" customWidth="1"/>
    <col min="6167" max="6168" width="6" style="1" customWidth="1"/>
    <col min="6169" max="6169" width="5" style="1" customWidth="1"/>
    <col min="6170" max="6170" width="6.42578125" style="1" customWidth="1"/>
    <col min="6171" max="6171" width="9.28515625" style="1" customWidth="1"/>
    <col min="6172" max="6173" width="6.85546875" style="1" customWidth="1"/>
    <col min="6174" max="6174" width="17.42578125" style="1" customWidth="1"/>
    <col min="6175" max="6192" width="5.7109375" style="1" customWidth="1"/>
    <col min="6193" max="6193" width="9.28515625" style="1" customWidth="1"/>
    <col min="6194" max="6194" width="6.7109375" style="1" customWidth="1"/>
    <col min="6195" max="6196" width="6.28515625" style="1" customWidth="1"/>
    <col min="6197" max="6197" width="18.140625" style="1" customWidth="1"/>
    <col min="6198" max="6212" width="5.7109375" style="1" customWidth="1"/>
    <col min="6213" max="6213" width="10.140625" style="1" customWidth="1"/>
    <col min="6214" max="6214" width="6.5703125" style="1" customWidth="1"/>
    <col min="6215" max="6227" width="5.7109375" style="1" customWidth="1"/>
    <col min="6228" max="6228" width="10.42578125" style="1" customWidth="1"/>
    <col min="6229" max="6229" width="6.7109375" style="1" customWidth="1"/>
    <col min="6230" max="6230" width="6.140625" style="1" customWidth="1"/>
    <col min="6231" max="6231" width="17.28515625" style="1" customWidth="1"/>
    <col min="6232" max="6402" width="8.42578125" style="1"/>
    <col min="6403" max="6403" width="10.42578125" style="1" customWidth="1"/>
    <col min="6404" max="6404" width="17.85546875" style="1" customWidth="1"/>
    <col min="6405" max="6405" width="10.5703125" style="1" customWidth="1"/>
    <col min="6406" max="6406" width="9.7109375" style="1" customWidth="1"/>
    <col min="6407" max="6411" width="8.28515625" style="1" customWidth="1"/>
    <col min="6412" max="6412" width="9.7109375" style="1" customWidth="1"/>
    <col min="6413" max="6413" width="8.28515625" style="1" customWidth="1"/>
    <col min="6414" max="6414" width="17.7109375" style="1" customWidth="1"/>
    <col min="6415" max="6415" width="6" style="1" customWidth="1"/>
    <col min="6416" max="6416" width="5.42578125" style="1" customWidth="1"/>
    <col min="6417" max="6417" width="6.5703125" style="1" customWidth="1"/>
    <col min="6418" max="6418" width="5.5703125" style="1" customWidth="1"/>
    <col min="6419" max="6419" width="5.140625" style="1" customWidth="1"/>
    <col min="6420" max="6420" width="7" style="1" customWidth="1"/>
    <col min="6421" max="6421" width="5.140625" style="1" customWidth="1"/>
    <col min="6422" max="6422" width="5.7109375" style="1" customWidth="1"/>
    <col min="6423" max="6424" width="6" style="1" customWidth="1"/>
    <col min="6425" max="6425" width="5" style="1" customWidth="1"/>
    <col min="6426" max="6426" width="6.42578125" style="1" customWidth="1"/>
    <col min="6427" max="6427" width="9.28515625" style="1" customWidth="1"/>
    <col min="6428" max="6429" width="6.85546875" style="1" customWidth="1"/>
    <col min="6430" max="6430" width="17.42578125" style="1" customWidth="1"/>
    <col min="6431" max="6448" width="5.7109375" style="1" customWidth="1"/>
    <col min="6449" max="6449" width="9.28515625" style="1" customWidth="1"/>
    <col min="6450" max="6450" width="6.7109375" style="1" customWidth="1"/>
    <col min="6451" max="6452" width="6.28515625" style="1" customWidth="1"/>
    <col min="6453" max="6453" width="18.140625" style="1" customWidth="1"/>
    <col min="6454" max="6468" width="5.7109375" style="1" customWidth="1"/>
    <col min="6469" max="6469" width="10.140625" style="1" customWidth="1"/>
    <col min="6470" max="6470" width="6.5703125" style="1" customWidth="1"/>
    <col min="6471" max="6483" width="5.7109375" style="1" customWidth="1"/>
    <col min="6484" max="6484" width="10.42578125" style="1" customWidth="1"/>
    <col min="6485" max="6485" width="6.7109375" style="1" customWidth="1"/>
    <col min="6486" max="6486" width="6.140625" style="1" customWidth="1"/>
    <col min="6487" max="6487" width="17.28515625" style="1" customWidth="1"/>
    <col min="6488" max="6658" width="8.42578125" style="1"/>
    <col min="6659" max="6659" width="10.42578125" style="1" customWidth="1"/>
    <col min="6660" max="6660" width="17.85546875" style="1" customWidth="1"/>
    <col min="6661" max="6661" width="10.5703125" style="1" customWidth="1"/>
    <col min="6662" max="6662" width="9.7109375" style="1" customWidth="1"/>
    <col min="6663" max="6667" width="8.28515625" style="1" customWidth="1"/>
    <col min="6668" max="6668" width="9.7109375" style="1" customWidth="1"/>
    <col min="6669" max="6669" width="8.28515625" style="1" customWidth="1"/>
    <col min="6670" max="6670" width="17.7109375" style="1" customWidth="1"/>
    <col min="6671" max="6671" width="6" style="1" customWidth="1"/>
    <col min="6672" max="6672" width="5.42578125" style="1" customWidth="1"/>
    <col min="6673" max="6673" width="6.5703125" style="1" customWidth="1"/>
    <col min="6674" max="6674" width="5.5703125" style="1" customWidth="1"/>
    <col min="6675" max="6675" width="5.140625" style="1" customWidth="1"/>
    <col min="6676" max="6676" width="7" style="1" customWidth="1"/>
    <col min="6677" max="6677" width="5.140625" style="1" customWidth="1"/>
    <col min="6678" max="6678" width="5.7109375" style="1" customWidth="1"/>
    <col min="6679" max="6680" width="6" style="1" customWidth="1"/>
    <col min="6681" max="6681" width="5" style="1" customWidth="1"/>
    <col min="6682" max="6682" width="6.42578125" style="1" customWidth="1"/>
    <col min="6683" max="6683" width="9.28515625" style="1" customWidth="1"/>
    <col min="6684" max="6685" width="6.85546875" style="1" customWidth="1"/>
    <col min="6686" max="6686" width="17.42578125" style="1" customWidth="1"/>
    <col min="6687" max="6704" width="5.7109375" style="1" customWidth="1"/>
    <col min="6705" max="6705" width="9.28515625" style="1" customWidth="1"/>
    <col min="6706" max="6706" width="6.7109375" style="1" customWidth="1"/>
    <col min="6707" max="6708" width="6.28515625" style="1" customWidth="1"/>
    <col min="6709" max="6709" width="18.140625" style="1" customWidth="1"/>
    <col min="6710" max="6724" width="5.7109375" style="1" customWidth="1"/>
    <col min="6725" max="6725" width="10.140625" style="1" customWidth="1"/>
    <col min="6726" max="6726" width="6.5703125" style="1" customWidth="1"/>
    <col min="6727" max="6739" width="5.7109375" style="1" customWidth="1"/>
    <col min="6740" max="6740" width="10.42578125" style="1" customWidth="1"/>
    <col min="6741" max="6741" width="6.7109375" style="1" customWidth="1"/>
    <col min="6742" max="6742" width="6.140625" style="1" customWidth="1"/>
    <col min="6743" max="6743" width="17.28515625" style="1" customWidth="1"/>
    <col min="6744" max="6914" width="8.42578125" style="1"/>
    <col min="6915" max="6915" width="10.42578125" style="1" customWidth="1"/>
    <col min="6916" max="6916" width="17.85546875" style="1" customWidth="1"/>
    <col min="6917" max="6917" width="10.5703125" style="1" customWidth="1"/>
    <col min="6918" max="6918" width="9.7109375" style="1" customWidth="1"/>
    <col min="6919" max="6923" width="8.28515625" style="1" customWidth="1"/>
    <col min="6924" max="6924" width="9.7109375" style="1" customWidth="1"/>
    <col min="6925" max="6925" width="8.28515625" style="1" customWidth="1"/>
    <col min="6926" max="6926" width="17.7109375" style="1" customWidth="1"/>
    <col min="6927" max="6927" width="6" style="1" customWidth="1"/>
    <col min="6928" max="6928" width="5.42578125" style="1" customWidth="1"/>
    <col min="6929" max="6929" width="6.5703125" style="1" customWidth="1"/>
    <col min="6930" max="6930" width="5.5703125" style="1" customWidth="1"/>
    <col min="6931" max="6931" width="5.140625" style="1" customWidth="1"/>
    <col min="6932" max="6932" width="7" style="1" customWidth="1"/>
    <col min="6933" max="6933" width="5.140625" style="1" customWidth="1"/>
    <col min="6934" max="6934" width="5.7109375" style="1" customWidth="1"/>
    <col min="6935" max="6936" width="6" style="1" customWidth="1"/>
    <col min="6937" max="6937" width="5" style="1" customWidth="1"/>
    <col min="6938" max="6938" width="6.42578125" style="1" customWidth="1"/>
    <col min="6939" max="6939" width="9.28515625" style="1" customWidth="1"/>
    <col min="6940" max="6941" width="6.85546875" style="1" customWidth="1"/>
    <col min="6942" max="6942" width="17.42578125" style="1" customWidth="1"/>
    <col min="6943" max="6960" width="5.7109375" style="1" customWidth="1"/>
    <col min="6961" max="6961" width="9.28515625" style="1" customWidth="1"/>
    <col min="6962" max="6962" width="6.7109375" style="1" customWidth="1"/>
    <col min="6963" max="6964" width="6.28515625" style="1" customWidth="1"/>
    <col min="6965" max="6965" width="18.140625" style="1" customWidth="1"/>
    <col min="6966" max="6980" width="5.7109375" style="1" customWidth="1"/>
    <col min="6981" max="6981" width="10.140625" style="1" customWidth="1"/>
    <col min="6982" max="6982" width="6.5703125" style="1" customWidth="1"/>
    <col min="6983" max="6995" width="5.7109375" style="1" customWidth="1"/>
    <col min="6996" max="6996" width="10.42578125" style="1" customWidth="1"/>
    <col min="6997" max="6997" width="6.7109375" style="1" customWidth="1"/>
    <col min="6998" max="6998" width="6.140625" style="1" customWidth="1"/>
    <col min="6999" max="6999" width="17.28515625" style="1" customWidth="1"/>
    <col min="7000" max="7170" width="8.42578125" style="1"/>
    <col min="7171" max="7171" width="10.42578125" style="1" customWidth="1"/>
    <col min="7172" max="7172" width="17.85546875" style="1" customWidth="1"/>
    <col min="7173" max="7173" width="10.5703125" style="1" customWidth="1"/>
    <col min="7174" max="7174" width="9.7109375" style="1" customWidth="1"/>
    <col min="7175" max="7179" width="8.28515625" style="1" customWidth="1"/>
    <col min="7180" max="7180" width="9.7109375" style="1" customWidth="1"/>
    <col min="7181" max="7181" width="8.28515625" style="1" customWidth="1"/>
    <col min="7182" max="7182" width="17.7109375" style="1" customWidth="1"/>
    <col min="7183" max="7183" width="6" style="1" customWidth="1"/>
    <col min="7184" max="7184" width="5.42578125" style="1" customWidth="1"/>
    <col min="7185" max="7185" width="6.5703125" style="1" customWidth="1"/>
    <col min="7186" max="7186" width="5.5703125" style="1" customWidth="1"/>
    <col min="7187" max="7187" width="5.140625" style="1" customWidth="1"/>
    <col min="7188" max="7188" width="7" style="1" customWidth="1"/>
    <col min="7189" max="7189" width="5.140625" style="1" customWidth="1"/>
    <col min="7190" max="7190" width="5.7109375" style="1" customWidth="1"/>
    <col min="7191" max="7192" width="6" style="1" customWidth="1"/>
    <col min="7193" max="7193" width="5" style="1" customWidth="1"/>
    <col min="7194" max="7194" width="6.42578125" style="1" customWidth="1"/>
    <col min="7195" max="7195" width="9.28515625" style="1" customWidth="1"/>
    <col min="7196" max="7197" width="6.85546875" style="1" customWidth="1"/>
    <col min="7198" max="7198" width="17.42578125" style="1" customWidth="1"/>
    <col min="7199" max="7216" width="5.7109375" style="1" customWidth="1"/>
    <col min="7217" max="7217" width="9.28515625" style="1" customWidth="1"/>
    <col min="7218" max="7218" width="6.7109375" style="1" customWidth="1"/>
    <col min="7219" max="7220" width="6.28515625" style="1" customWidth="1"/>
    <col min="7221" max="7221" width="18.140625" style="1" customWidth="1"/>
    <col min="7222" max="7236" width="5.7109375" style="1" customWidth="1"/>
    <col min="7237" max="7237" width="10.140625" style="1" customWidth="1"/>
    <col min="7238" max="7238" width="6.5703125" style="1" customWidth="1"/>
    <col min="7239" max="7251" width="5.7109375" style="1" customWidth="1"/>
    <col min="7252" max="7252" width="10.42578125" style="1" customWidth="1"/>
    <col min="7253" max="7253" width="6.7109375" style="1" customWidth="1"/>
    <col min="7254" max="7254" width="6.140625" style="1" customWidth="1"/>
    <col min="7255" max="7255" width="17.28515625" style="1" customWidth="1"/>
    <col min="7256" max="7426" width="8.42578125" style="1"/>
    <col min="7427" max="7427" width="10.42578125" style="1" customWidth="1"/>
    <col min="7428" max="7428" width="17.85546875" style="1" customWidth="1"/>
    <col min="7429" max="7429" width="10.5703125" style="1" customWidth="1"/>
    <col min="7430" max="7430" width="9.7109375" style="1" customWidth="1"/>
    <col min="7431" max="7435" width="8.28515625" style="1" customWidth="1"/>
    <col min="7436" max="7436" width="9.7109375" style="1" customWidth="1"/>
    <col min="7437" max="7437" width="8.28515625" style="1" customWidth="1"/>
    <col min="7438" max="7438" width="17.7109375" style="1" customWidth="1"/>
    <col min="7439" max="7439" width="6" style="1" customWidth="1"/>
    <col min="7440" max="7440" width="5.42578125" style="1" customWidth="1"/>
    <col min="7441" max="7441" width="6.5703125" style="1" customWidth="1"/>
    <col min="7442" max="7442" width="5.5703125" style="1" customWidth="1"/>
    <col min="7443" max="7443" width="5.140625" style="1" customWidth="1"/>
    <col min="7444" max="7444" width="7" style="1" customWidth="1"/>
    <col min="7445" max="7445" width="5.140625" style="1" customWidth="1"/>
    <col min="7446" max="7446" width="5.7109375" style="1" customWidth="1"/>
    <col min="7447" max="7448" width="6" style="1" customWidth="1"/>
    <col min="7449" max="7449" width="5" style="1" customWidth="1"/>
    <col min="7450" max="7450" width="6.42578125" style="1" customWidth="1"/>
    <col min="7451" max="7451" width="9.28515625" style="1" customWidth="1"/>
    <col min="7452" max="7453" width="6.85546875" style="1" customWidth="1"/>
    <col min="7454" max="7454" width="17.42578125" style="1" customWidth="1"/>
    <col min="7455" max="7472" width="5.7109375" style="1" customWidth="1"/>
    <col min="7473" max="7473" width="9.28515625" style="1" customWidth="1"/>
    <col min="7474" max="7474" width="6.7109375" style="1" customWidth="1"/>
    <col min="7475" max="7476" width="6.28515625" style="1" customWidth="1"/>
    <col min="7477" max="7477" width="18.140625" style="1" customWidth="1"/>
    <col min="7478" max="7492" width="5.7109375" style="1" customWidth="1"/>
    <col min="7493" max="7493" width="10.140625" style="1" customWidth="1"/>
    <col min="7494" max="7494" width="6.5703125" style="1" customWidth="1"/>
    <col min="7495" max="7507" width="5.7109375" style="1" customWidth="1"/>
    <col min="7508" max="7508" width="10.42578125" style="1" customWidth="1"/>
    <col min="7509" max="7509" width="6.7109375" style="1" customWidth="1"/>
    <col min="7510" max="7510" width="6.140625" style="1" customWidth="1"/>
    <col min="7511" max="7511" width="17.28515625" style="1" customWidth="1"/>
    <col min="7512" max="7682" width="8.42578125" style="1"/>
    <col min="7683" max="7683" width="10.42578125" style="1" customWidth="1"/>
    <col min="7684" max="7684" width="17.85546875" style="1" customWidth="1"/>
    <col min="7685" max="7685" width="10.5703125" style="1" customWidth="1"/>
    <col min="7686" max="7686" width="9.7109375" style="1" customWidth="1"/>
    <col min="7687" max="7691" width="8.28515625" style="1" customWidth="1"/>
    <col min="7692" max="7692" width="9.7109375" style="1" customWidth="1"/>
    <col min="7693" max="7693" width="8.28515625" style="1" customWidth="1"/>
    <col min="7694" max="7694" width="17.7109375" style="1" customWidth="1"/>
    <col min="7695" max="7695" width="6" style="1" customWidth="1"/>
    <col min="7696" max="7696" width="5.42578125" style="1" customWidth="1"/>
    <col min="7697" max="7697" width="6.5703125" style="1" customWidth="1"/>
    <col min="7698" max="7698" width="5.5703125" style="1" customWidth="1"/>
    <col min="7699" max="7699" width="5.140625" style="1" customWidth="1"/>
    <col min="7700" max="7700" width="7" style="1" customWidth="1"/>
    <col min="7701" max="7701" width="5.140625" style="1" customWidth="1"/>
    <col min="7702" max="7702" width="5.7109375" style="1" customWidth="1"/>
    <col min="7703" max="7704" width="6" style="1" customWidth="1"/>
    <col min="7705" max="7705" width="5" style="1" customWidth="1"/>
    <col min="7706" max="7706" width="6.42578125" style="1" customWidth="1"/>
    <col min="7707" max="7707" width="9.28515625" style="1" customWidth="1"/>
    <col min="7708" max="7709" width="6.85546875" style="1" customWidth="1"/>
    <col min="7710" max="7710" width="17.42578125" style="1" customWidth="1"/>
    <col min="7711" max="7728" width="5.7109375" style="1" customWidth="1"/>
    <col min="7729" max="7729" width="9.28515625" style="1" customWidth="1"/>
    <col min="7730" max="7730" width="6.7109375" style="1" customWidth="1"/>
    <col min="7731" max="7732" width="6.28515625" style="1" customWidth="1"/>
    <col min="7733" max="7733" width="18.140625" style="1" customWidth="1"/>
    <col min="7734" max="7748" width="5.7109375" style="1" customWidth="1"/>
    <col min="7749" max="7749" width="10.140625" style="1" customWidth="1"/>
    <col min="7750" max="7750" width="6.5703125" style="1" customWidth="1"/>
    <col min="7751" max="7763" width="5.7109375" style="1" customWidth="1"/>
    <col min="7764" max="7764" width="10.42578125" style="1" customWidth="1"/>
    <col min="7765" max="7765" width="6.7109375" style="1" customWidth="1"/>
    <col min="7766" max="7766" width="6.140625" style="1" customWidth="1"/>
    <col min="7767" max="7767" width="17.28515625" style="1" customWidth="1"/>
    <col min="7768" max="7938" width="8.42578125" style="1"/>
    <col min="7939" max="7939" width="10.42578125" style="1" customWidth="1"/>
    <col min="7940" max="7940" width="17.85546875" style="1" customWidth="1"/>
    <col min="7941" max="7941" width="10.5703125" style="1" customWidth="1"/>
    <col min="7942" max="7942" width="9.7109375" style="1" customWidth="1"/>
    <col min="7943" max="7947" width="8.28515625" style="1" customWidth="1"/>
    <col min="7948" max="7948" width="9.7109375" style="1" customWidth="1"/>
    <col min="7949" max="7949" width="8.28515625" style="1" customWidth="1"/>
    <col min="7950" max="7950" width="17.7109375" style="1" customWidth="1"/>
    <col min="7951" max="7951" width="6" style="1" customWidth="1"/>
    <col min="7952" max="7952" width="5.42578125" style="1" customWidth="1"/>
    <col min="7953" max="7953" width="6.5703125" style="1" customWidth="1"/>
    <col min="7954" max="7954" width="5.5703125" style="1" customWidth="1"/>
    <col min="7955" max="7955" width="5.140625" style="1" customWidth="1"/>
    <col min="7956" max="7956" width="7" style="1" customWidth="1"/>
    <col min="7957" max="7957" width="5.140625" style="1" customWidth="1"/>
    <col min="7958" max="7958" width="5.7109375" style="1" customWidth="1"/>
    <col min="7959" max="7960" width="6" style="1" customWidth="1"/>
    <col min="7961" max="7961" width="5" style="1" customWidth="1"/>
    <col min="7962" max="7962" width="6.42578125" style="1" customWidth="1"/>
    <col min="7963" max="7963" width="9.28515625" style="1" customWidth="1"/>
    <col min="7964" max="7965" width="6.85546875" style="1" customWidth="1"/>
    <col min="7966" max="7966" width="17.42578125" style="1" customWidth="1"/>
    <col min="7967" max="7984" width="5.7109375" style="1" customWidth="1"/>
    <col min="7985" max="7985" width="9.28515625" style="1" customWidth="1"/>
    <col min="7986" max="7986" width="6.7109375" style="1" customWidth="1"/>
    <col min="7987" max="7988" width="6.28515625" style="1" customWidth="1"/>
    <col min="7989" max="7989" width="18.140625" style="1" customWidth="1"/>
    <col min="7990" max="8004" width="5.7109375" style="1" customWidth="1"/>
    <col min="8005" max="8005" width="10.140625" style="1" customWidth="1"/>
    <col min="8006" max="8006" width="6.5703125" style="1" customWidth="1"/>
    <col min="8007" max="8019" width="5.7109375" style="1" customWidth="1"/>
    <col min="8020" max="8020" width="10.42578125" style="1" customWidth="1"/>
    <col min="8021" max="8021" width="6.7109375" style="1" customWidth="1"/>
    <col min="8022" max="8022" width="6.140625" style="1" customWidth="1"/>
    <col min="8023" max="8023" width="17.28515625" style="1" customWidth="1"/>
    <col min="8024" max="8194" width="8.42578125" style="1"/>
    <col min="8195" max="8195" width="10.42578125" style="1" customWidth="1"/>
    <col min="8196" max="8196" width="17.85546875" style="1" customWidth="1"/>
    <col min="8197" max="8197" width="10.5703125" style="1" customWidth="1"/>
    <col min="8198" max="8198" width="9.7109375" style="1" customWidth="1"/>
    <col min="8199" max="8203" width="8.28515625" style="1" customWidth="1"/>
    <col min="8204" max="8204" width="9.7109375" style="1" customWidth="1"/>
    <col min="8205" max="8205" width="8.28515625" style="1" customWidth="1"/>
    <col min="8206" max="8206" width="17.7109375" style="1" customWidth="1"/>
    <col min="8207" max="8207" width="6" style="1" customWidth="1"/>
    <col min="8208" max="8208" width="5.42578125" style="1" customWidth="1"/>
    <col min="8209" max="8209" width="6.5703125" style="1" customWidth="1"/>
    <col min="8210" max="8210" width="5.5703125" style="1" customWidth="1"/>
    <col min="8211" max="8211" width="5.140625" style="1" customWidth="1"/>
    <col min="8212" max="8212" width="7" style="1" customWidth="1"/>
    <col min="8213" max="8213" width="5.140625" style="1" customWidth="1"/>
    <col min="8214" max="8214" width="5.7109375" style="1" customWidth="1"/>
    <col min="8215" max="8216" width="6" style="1" customWidth="1"/>
    <col min="8217" max="8217" width="5" style="1" customWidth="1"/>
    <col min="8218" max="8218" width="6.42578125" style="1" customWidth="1"/>
    <col min="8219" max="8219" width="9.28515625" style="1" customWidth="1"/>
    <col min="8220" max="8221" width="6.85546875" style="1" customWidth="1"/>
    <col min="8222" max="8222" width="17.42578125" style="1" customWidth="1"/>
    <col min="8223" max="8240" width="5.7109375" style="1" customWidth="1"/>
    <col min="8241" max="8241" width="9.28515625" style="1" customWidth="1"/>
    <col min="8242" max="8242" width="6.7109375" style="1" customWidth="1"/>
    <col min="8243" max="8244" width="6.28515625" style="1" customWidth="1"/>
    <col min="8245" max="8245" width="18.140625" style="1" customWidth="1"/>
    <col min="8246" max="8260" width="5.7109375" style="1" customWidth="1"/>
    <col min="8261" max="8261" width="10.140625" style="1" customWidth="1"/>
    <col min="8262" max="8262" width="6.5703125" style="1" customWidth="1"/>
    <col min="8263" max="8275" width="5.7109375" style="1" customWidth="1"/>
    <col min="8276" max="8276" width="10.42578125" style="1" customWidth="1"/>
    <col min="8277" max="8277" width="6.7109375" style="1" customWidth="1"/>
    <col min="8278" max="8278" width="6.140625" style="1" customWidth="1"/>
    <col min="8279" max="8279" width="17.28515625" style="1" customWidth="1"/>
    <col min="8280" max="8450" width="8.42578125" style="1"/>
    <col min="8451" max="8451" width="10.42578125" style="1" customWidth="1"/>
    <col min="8452" max="8452" width="17.85546875" style="1" customWidth="1"/>
    <col min="8453" max="8453" width="10.5703125" style="1" customWidth="1"/>
    <col min="8454" max="8454" width="9.7109375" style="1" customWidth="1"/>
    <col min="8455" max="8459" width="8.28515625" style="1" customWidth="1"/>
    <col min="8460" max="8460" width="9.7109375" style="1" customWidth="1"/>
    <col min="8461" max="8461" width="8.28515625" style="1" customWidth="1"/>
    <col min="8462" max="8462" width="17.7109375" style="1" customWidth="1"/>
    <col min="8463" max="8463" width="6" style="1" customWidth="1"/>
    <col min="8464" max="8464" width="5.42578125" style="1" customWidth="1"/>
    <col min="8465" max="8465" width="6.5703125" style="1" customWidth="1"/>
    <col min="8466" max="8466" width="5.5703125" style="1" customWidth="1"/>
    <col min="8467" max="8467" width="5.140625" style="1" customWidth="1"/>
    <col min="8468" max="8468" width="7" style="1" customWidth="1"/>
    <col min="8469" max="8469" width="5.140625" style="1" customWidth="1"/>
    <col min="8470" max="8470" width="5.7109375" style="1" customWidth="1"/>
    <col min="8471" max="8472" width="6" style="1" customWidth="1"/>
    <col min="8473" max="8473" width="5" style="1" customWidth="1"/>
    <col min="8474" max="8474" width="6.42578125" style="1" customWidth="1"/>
    <col min="8475" max="8475" width="9.28515625" style="1" customWidth="1"/>
    <col min="8476" max="8477" width="6.85546875" style="1" customWidth="1"/>
    <col min="8478" max="8478" width="17.42578125" style="1" customWidth="1"/>
    <col min="8479" max="8496" width="5.7109375" style="1" customWidth="1"/>
    <col min="8497" max="8497" width="9.28515625" style="1" customWidth="1"/>
    <col min="8498" max="8498" width="6.7109375" style="1" customWidth="1"/>
    <col min="8499" max="8500" width="6.28515625" style="1" customWidth="1"/>
    <col min="8501" max="8501" width="18.140625" style="1" customWidth="1"/>
    <col min="8502" max="8516" width="5.7109375" style="1" customWidth="1"/>
    <col min="8517" max="8517" width="10.140625" style="1" customWidth="1"/>
    <col min="8518" max="8518" width="6.5703125" style="1" customWidth="1"/>
    <col min="8519" max="8531" width="5.7109375" style="1" customWidth="1"/>
    <col min="8532" max="8532" width="10.42578125" style="1" customWidth="1"/>
    <col min="8533" max="8533" width="6.7109375" style="1" customWidth="1"/>
    <col min="8534" max="8534" width="6.140625" style="1" customWidth="1"/>
    <col min="8535" max="8535" width="17.28515625" style="1" customWidth="1"/>
    <col min="8536" max="8706" width="8.42578125" style="1"/>
    <col min="8707" max="8707" width="10.42578125" style="1" customWidth="1"/>
    <col min="8708" max="8708" width="17.85546875" style="1" customWidth="1"/>
    <col min="8709" max="8709" width="10.5703125" style="1" customWidth="1"/>
    <col min="8710" max="8710" width="9.7109375" style="1" customWidth="1"/>
    <col min="8711" max="8715" width="8.28515625" style="1" customWidth="1"/>
    <col min="8716" max="8716" width="9.7109375" style="1" customWidth="1"/>
    <col min="8717" max="8717" width="8.28515625" style="1" customWidth="1"/>
    <col min="8718" max="8718" width="17.7109375" style="1" customWidth="1"/>
    <col min="8719" max="8719" width="6" style="1" customWidth="1"/>
    <col min="8720" max="8720" width="5.42578125" style="1" customWidth="1"/>
    <col min="8721" max="8721" width="6.5703125" style="1" customWidth="1"/>
    <col min="8722" max="8722" width="5.5703125" style="1" customWidth="1"/>
    <col min="8723" max="8723" width="5.140625" style="1" customWidth="1"/>
    <col min="8724" max="8724" width="7" style="1" customWidth="1"/>
    <col min="8725" max="8725" width="5.140625" style="1" customWidth="1"/>
    <col min="8726" max="8726" width="5.7109375" style="1" customWidth="1"/>
    <col min="8727" max="8728" width="6" style="1" customWidth="1"/>
    <col min="8729" max="8729" width="5" style="1" customWidth="1"/>
    <col min="8730" max="8730" width="6.42578125" style="1" customWidth="1"/>
    <col min="8731" max="8731" width="9.28515625" style="1" customWidth="1"/>
    <col min="8732" max="8733" width="6.85546875" style="1" customWidth="1"/>
    <col min="8734" max="8734" width="17.42578125" style="1" customWidth="1"/>
    <col min="8735" max="8752" width="5.7109375" style="1" customWidth="1"/>
    <col min="8753" max="8753" width="9.28515625" style="1" customWidth="1"/>
    <col min="8754" max="8754" width="6.7109375" style="1" customWidth="1"/>
    <col min="8755" max="8756" width="6.28515625" style="1" customWidth="1"/>
    <col min="8757" max="8757" width="18.140625" style="1" customWidth="1"/>
    <col min="8758" max="8772" width="5.7109375" style="1" customWidth="1"/>
    <col min="8773" max="8773" width="10.140625" style="1" customWidth="1"/>
    <col min="8774" max="8774" width="6.5703125" style="1" customWidth="1"/>
    <col min="8775" max="8787" width="5.7109375" style="1" customWidth="1"/>
    <col min="8788" max="8788" width="10.42578125" style="1" customWidth="1"/>
    <col min="8789" max="8789" width="6.7109375" style="1" customWidth="1"/>
    <col min="8790" max="8790" width="6.140625" style="1" customWidth="1"/>
    <col min="8791" max="8791" width="17.28515625" style="1" customWidth="1"/>
    <col min="8792" max="8962" width="8.42578125" style="1"/>
    <col min="8963" max="8963" width="10.42578125" style="1" customWidth="1"/>
    <col min="8964" max="8964" width="17.85546875" style="1" customWidth="1"/>
    <col min="8965" max="8965" width="10.5703125" style="1" customWidth="1"/>
    <col min="8966" max="8966" width="9.7109375" style="1" customWidth="1"/>
    <col min="8967" max="8971" width="8.28515625" style="1" customWidth="1"/>
    <col min="8972" max="8972" width="9.7109375" style="1" customWidth="1"/>
    <col min="8973" max="8973" width="8.28515625" style="1" customWidth="1"/>
    <col min="8974" max="8974" width="17.7109375" style="1" customWidth="1"/>
    <col min="8975" max="8975" width="6" style="1" customWidth="1"/>
    <col min="8976" max="8976" width="5.42578125" style="1" customWidth="1"/>
    <col min="8977" max="8977" width="6.5703125" style="1" customWidth="1"/>
    <col min="8978" max="8978" width="5.5703125" style="1" customWidth="1"/>
    <col min="8979" max="8979" width="5.140625" style="1" customWidth="1"/>
    <col min="8980" max="8980" width="7" style="1" customWidth="1"/>
    <col min="8981" max="8981" width="5.140625" style="1" customWidth="1"/>
    <col min="8982" max="8982" width="5.7109375" style="1" customWidth="1"/>
    <col min="8983" max="8984" width="6" style="1" customWidth="1"/>
    <col min="8985" max="8985" width="5" style="1" customWidth="1"/>
    <col min="8986" max="8986" width="6.42578125" style="1" customWidth="1"/>
    <col min="8987" max="8987" width="9.28515625" style="1" customWidth="1"/>
    <col min="8988" max="8989" width="6.85546875" style="1" customWidth="1"/>
    <col min="8990" max="8990" width="17.42578125" style="1" customWidth="1"/>
    <col min="8991" max="9008" width="5.7109375" style="1" customWidth="1"/>
    <col min="9009" max="9009" width="9.28515625" style="1" customWidth="1"/>
    <col min="9010" max="9010" width="6.7109375" style="1" customWidth="1"/>
    <col min="9011" max="9012" width="6.28515625" style="1" customWidth="1"/>
    <col min="9013" max="9013" width="18.140625" style="1" customWidth="1"/>
    <col min="9014" max="9028" width="5.7109375" style="1" customWidth="1"/>
    <col min="9029" max="9029" width="10.140625" style="1" customWidth="1"/>
    <col min="9030" max="9030" width="6.5703125" style="1" customWidth="1"/>
    <col min="9031" max="9043" width="5.7109375" style="1" customWidth="1"/>
    <col min="9044" max="9044" width="10.42578125" style="1" customWidth="1"/>
    <col min="9045" max="9045" width="6.7109375" style="1" customWidth="1"/>
    <col min="9046" max="9046" width="6.140625" style="1" customWidth="1"/>
    <col min="9047" max="9047" width="17.28515625" style="1" customWidth="1"/>
    <col min="9048" max="9218" width="8.42578125" style="1"/>
    <col min="9219" max="9219" width="10.42578125" style="1" customWidth="1"/>
    <col min="9220" max="9220" width="17.85546875" style="1" customWidth="1"/>
    <col min="9221" max="9221" width="10.5703125" style="1" customWidth="1"/>
    <col min="9222" max="9222" width="9.7109375" style="1" customWidth="1"/>
    <col min="9223" max="9227" width="8.28515625" style="1" customWidth="1"/>
    <col min="9228" max="9228" width="9.7109375" style="1" customWidth="1"/>
    <col min="9229" max="9229" width="8.28515625" style="1" customWidth="1"/>
    <col min="9230" max="9230" width="17.7109375" style="1" customWidth="1"/>
    <col min="9231" max="9231" width="6" style="1" customWidth="1"/>
    <col min="9232" max="9232" width="5.42578125" style="1" customWidth="1"/>
    <col min="9233" max="9233" width="6.5703125" style="1" customWidth="1"/>
    <col min="9234" max="9234" width="5.5703125" style="1" customWidth="1"/>
    <col min="9235" max="9235" width="5.140625" style="1" customWidth="1"/>
    <col min="9236" max="9236" width="7" style="1" customWidth="1"/>
    <col min="9237" max="9237" width="5.140625" style="1" customWidth="1"/>
    <col min="9238" max="9238" width="5.7109375" style="1" customWidth="1"/>
    <col min="9239" max="9240" width="6" style="1" customWidth="1"/>
    <col min="9241" max="9241" width="5" style="1" customWidth="1"/>
    <col min="9242" max="9242" width="6.42578125" style="1" customWidth="1"/>
    <col min="9243" max="9243" width="9.28515625" style="1" customWidth="1"/>
    <col min="9244" max="9245" width="6.85546875" style="1" customWidth="1"/>
    <col min="9246" max="9246" width="17.42578125" style="1" customWidth="1"/>
    <col min="9247" max="9264" width="5.7109375" style="1" customWidth="1"/>
    <col min="9265" max="9265" width="9.28515625" style="1" customWidth="1"/>
    <col min="9266" max="9266" width="6.7109375" style="1" customWidth="1"/>
    <col min="9267" max="9268" width="6.28515625" style="1" customWidth="1"/>
    <col min="9269" max="9269" width="18.140625" style="1" customWidth="1"/>
    <col min="9270" max="9284" width="5.7109375" style="1" customWidth="1"/>
    <col min="9285" max="9285" width="10.140625" style="1" customWidth="1"/>
    <col min="9286" max="9286" width="6.5703125" style="1" customWidth="1"/>
    <col min="9287" max="9299" width="5.7109375" style="1" customWidth="1"/>
    <col min="9300" max="9300" width="10.42578125" style="1" customWidth="1"/>
    <col min="9301" max="9301" width="6.7109375" style="1" customWidth="1"/>
    <col min="9302" max="9302" width="6.140625" style="1" customWidth="1"/>
    <col min="9303" max="9303" width="17.28515625" style="1" customWidth="1"/>
    <col min="9304" max="9474" width="8.42578125" style="1"/>
    <col min="9475" max="9475" width="10.42578125" style="1" customWidth="1"/>
    <col min="9476" max="9476" width="17.85546875" style="1" customWidth="1"/>
    <col min="9477" max="9477" width="10.5703125" style="1" customWidth="1"/>
    <col min="9478" max="9478" width="9.7109375" style="1" customWidth="1"/>
    <col min="9479" max="9483" width="8.28515625" style="1" customWidth="1"/>
    <col min="9484" max="9484" width="9.7109375" style="1" customWidth="1"/>
    <col min="9485" max="9485" width="8.28515625" style="1" customWidth="1"/>
    <col min="9486" max="9486" width="17.7109375" style="1" customWidth="1"/>
    <col min="9487" max="9487" width="6" style="1" customWidth="1"/>
    <col min="9488" max="9488" width="5.42578125" style="1" customWidth="1"/>
    <col min="9489" max="9489" width="6.5703125" style="1" customWidth="1"/>
    <col min="9490" max="9490" width="5.5703125" style="1" customWidth="1"/>
    <col min="9491" max="9491" width="5.140625" style="1" customWidth="1"/>
    <col min="9492" max="9492" width="7" style="1" customWidth="1"/>
    <col min="9493" max="9493" width="5.140625" style="1" customWidth="1"/>
    <col min="9494" max="9494" width="5.7109375" style="1" customWidth="1"/>
    <col min="9495" max="9496" width="6" style="1" customWidth="1"/>
    <col min="9497" max="9497" width="5" style="1" customWidth="1"/>
    <col min="9498" max="9498" width="6.42578125" style="1" customWidth="1"/>
    <col min="9499" max="9499" width="9.28515625" style="1" customWidth="1"/>
    <col min="9500" max="9501" width="6.85546875" style="1" customWidth="1"/>
    <col min="9502" max="9502" width="17.42578125" style="1" customWidth="1"/>
    <col min="9503" max="9520" width="5.7109375" style="1" customWidth="1"/>
    <col min="9521" max="9521" width="9.28515625" style="1" customWidth="1"/>
    <col min="9522" max="9522" width="6.7109375" style="1" customWidth="1"/>
    <col min="9523" max="9524" width="6.28515625" style="1" customWidth="1"/>
    <col min="9525" max="9525" width="18.140625" style="1" customWidth="1"/>
    <col min="9526" max="9540" width="5.7109375" style="1" customWidth="1"/>
    <col min="9541" max="9541" width="10.140625" style="1" customWidth="1"/>
    <col min="9542" max="9542" width="6.5703125" style="1" customWidth="1"/>
    <col min="9543" max="9555" width="5.7109375" style="1" customWidth="1"/>
    <col min="9556" max="9556" width="10.42578125" style="1" customWidth="1"/>
    <col min="9557" max="9557" width="6.7109375" style="1" customWidth="1"/>
    <col min="9558" max="9558" width="6.140625" style="1" customWidth="1"/>
    <col min="9559" max="9559" width="17.28515625" style="1" customWidth="1"/>
    <col min="9560" max="9730" width="8.42578125" style="1"/>
    <col min="9731" max="9731" width="10.42578125" style="1" customWidth="1"/>
    <col min="9732" max="9732" width="17.85546875" style="1" customWidth="1"/>
    <col min="9733" max="9733" width="10.5703125" style="1" customWidth="1"/>
    <col min="9734" max="9734" width="9.7109375" style="1" customWidth="1"/>
    <col min="9735" max="9739" width="8.28515625" style="1" customWidth="1"/>
    <col min="9740" max="9740" width="9.7109375" style="1" customWidth="1"/>
    <col min="9741" max="9741" width="8.28515625" style="1" customWidth="1"/>
    <col min="9742" max="9742" width="17.7109375" style="1" customWidth="1"/>
    <col min="9743" max="9743" width="6" style="1" customWidth="1"/>
    <col min="9744" max="9744" width="5.42578125" style="1" customWidth="1"/>
    <col min="9745" max="9745" width="6.5703125" style="1" customWidth="1"/>
    <col min="9746" max="9746" width="5.5703125" style="1" customWidth="1"/>
    <col min="9747" max="9747" width="5.140625" style="1" customWidth="1"/>
    <col min="9748" max="9748" width="7" style="1" customWidth="1"/>
    <col min="9749" max="9749" width="5.140625" style="1" customWidth="1"/>
    <col min="9750" max="9750" width="5.7109375" style="1" customWidth="1"/>
    <col min="9751" max="9752" width="6" style="1" customWidth="1"/>
    <col min="9753" max="9753" width="5" style="1" customWidth="1"/>
    <col min="9754" max="9754" width="6.42578125" style="1" customWidth="1"/>
    <col min="9755" max="9755" width="9.28515625" style="1" customWidth="1"/>
    <col min="9756" max="9757" width="6.85546875" style="1" customWidth="1"/>
    <col min="9758" max="9758" width="17.42578125" style="1" customWidth="1"/>
    <col min="9759" max="9776" width="5.7109375" style="1" customWidth="1"/>
    <col min="9777" max="9777" width="9.28515625" style="1" customWidth="1"/>
    <col min="9778" max="9778" width="6.7109375" style="1" customWidth="1"/>
    <col min="9779" max="9780" width="6.28515625" style="1" customWidth="1"/>
    <col min="9781" max="9781" width="18.140625" style="1" customWidth="1"/>
    <col min="9782" max="9796" width="5.7109375" style="1" customWidth="1"/>
    <col min="9797" max="9797" width="10.140625" style="1" customWidth="1"/>
    <col min="9798" max="9798" width="6.5703125" style="1" customWidth="1"/>
    <col min="9799" max="9811" width="5.7109375" style="1" customWidth="1"/>
    <col min="9812" max="9812" width="10.42578125" style="1" customWidth="1"/>
    <col min="9813" max="9813" width="6.7109375" style="1" customWidth="1"/>
    <col min="9814" max="9814" width="6.140625" style="1" customWidth="1"/>
    <col min="9815" max="9815" width="17.28515625" style="1" customWidth="1"/>
    <col min="9816" max="9986" width="8.42578125" style="1"/>
    <col min="9987" max="9987" width="10.42578125" style="1" customWidth="1"/>
    <col min="9988" max="9988" width="17.85546875" style="1" customWidth="1"/>
    <col min="9989" max="9989" width="10.5703125" style="1" customWidth="1"/>
    <col min="9990" max="9990" width="9.7109375" style="1" customWidth="1"/>
    <col min="9991" max="9995" width="8.28515625" style="1" customWidth="1"/>
    <col min="9996" max="9996" width="9.7109375" style="1" customWidth="1"/>
    <col min="9997" max="9997" width="8.28515625" style="1" customWidth="1"/>
    <col min="9998" max="9998" width="17.7109375" style="1" customWidth="1"/>
    <col min="9999" max="9999" width="6" style="1" customWidth="1"/>
    <col min="10000" max="10000" width="5.42578125" style="1" customWidth="1"/>
    <col min="10001" max="10001" width="6.5703125" style="1" customWidth="1"/>
    <col min="10002" max="10002" width="5.5703125" style="1" customWidth="1"/>
    <col min="10003" max="10003" width="5.140625" style="1" customWidth="1"/>
    <col min="10004" max="10004" width="7" style="1" customWidth="1"/>
    <col min="10005" max="10005" width="5.140625" style="1" customWidth="1"/>
    <col min="10006" max="10006" width="5.7109375" style="1" customWidth="1"/>
    <col min="10007" max="10008" width="6" style="1" customWidth="1"/>
    <col min="10009" max="10009" width="5" style="1" customWidth="1"/>
    <col min="10010" max="10010" width="6.42578125" style="1" customWidth="1"/>
    <col min="10011" max="10011" width="9.28515625" style="1" customWidth="1"/>
    <col min="10012" max="10013" width="6.85546875" style="1" customWidth="1"/>
    <col min="10014" max="10014" width="17.42578125" style="1" customWidth="1"/>
    <col min="10015" max="10032" width="5.7109375" style="1" customWidth="1"/>
    <col min="10033" max="10033" width="9.28515625" style="1" customWidth="1"/>
    <col min="10034" max="10034" width="6.7109375" style="1" customWidth="1"/>
    <col min="10035" max="10036" width="6.28515625" style="1" customWidth="1"/>
    <col min="10037" max="10037" width="18.140625" style="1" customWidth="1"/>
    <col min="10038" max="10052" width="5.7109375" style="1" customWidth="1"/>
    <col min="10053" max="10053" width="10.140625" style="1" customWidth="1"/>
    <col min="10054" max="10054" width="6.5703125" style="1" customWidth="1"/>
    <col min="10055" max="10067" width="5.7109375" style="1" customWidth="1"/>
    <col min="10068" max="10068" width="10.42578125" style="1" customWidth="1"/>
    <col min="10069" max="10069" width="6.7109375" style="1" customWidth="1"/>
    <col min="10070" max="10070" width="6.140625" style="1" customWidth="1"/>
    <col min="10071" max="10071" width="17.28515625" style="1" customWidth="1"/>
    <col min="10072" max="10242" width="8.42578125" style="1"/>
    <col min="10243" max="10243" width="10.42578125" style="1" customWidth="1"/>
    <col min="10244" max="10244" width="17.85546875" style="1" customWidth="1"/>
    <col min="10245" max="10245" width="10.5703125" style="1" customWidth="1"/>
    <col min="10246" max="10246" width="9.7109375" style="1" customWidth="1"/>
    <col min="10247" max="10251" width="8.28515625" style="1" customWidth="1"/>
    <col min="10252" max="10252" width="9.7109375" style="1" customWidth="1"/>
    <col min="10253" max="10253" width="8.28515625" style="1" customWidth="1"/>
    <col min="10254" max="10254" width="17.7109375" style="1" customWidth="1"/>
    <col min="10255" max="10255" width="6" style="1" customWidth="1"/>
    <col min="10256" max="10256" width="5.42578125" style="1" customWidth="1"/>
    <col min="10257" max="10257" width="6.5703125" style="1" customWidth="1"/>
    <col min="10258" max="10258" width="5.5703125" style="1" customWidth="1"/>
    <col min="10259" max="10259" width="5.140625" style="1" customWidth="1"/>
    <col min="10260" max="10260" width="7" style="1" customWidth="1"/>
    <col min="10261" max="10261" width="5.140625" style="1" customWidth="1"/>
    <col min="10262" max="10262" width="5.7109375" style="1" customWidth="1"/>
    <col min="10263" max="10264" width="6" style="1" customWidth="1"/>
    <col min="10265" max="10265" width="5" style="1" customWidth="1"/>
    <col min="10266" max="10266" width="6.42578125" style="1" customWidth="1"/>
    <col min="10267" max="10267" width="9.28515625" style="1" customWidth="1"/>
    <col min="10268" max="10269" width="6.85546875" style="1" customWidth="1"/>
    <col min="10270" max="10270" width="17.42578125" style="1" customWidth="1"/>
    <col min="10271" max="10288" width="5.7109375" style="1" customWidth="1"/>
    <col min="10289" max="10289" width="9.28515625" style="1" customWidth="1"/>
    <col min="10290" max="10290" width="6.7109375" style="1" customWidth="1"/>
    <col min="10291" max="10292" width="6.28515625" style="1" customWidth="1"/>
    <col min="10293" max="10293" width="18.140625" style="1" customWidth="1"/>
    <col min="10294" max="10308" width="5.7109375" style="1" customWidth="1"/>
    <col min="10309" max="10309" width="10.140625" style="1" customWidth="1"/>
    <col min="10310" max="10310" width="6.5703125" style="1" customWidth="1"/>
    <col min="10311" max="10323" width="5.7109375" style="1" customWidth="1"/>
    <col min="10324" max="10324" width="10.42578125" style="1" customWidth="1"/>
    <col min="10325" max="10325" width="6.7109375" style="1" customWidth="1"/>
    <col min="10326" max="10326" width="6.140625" style="1" customWidth="1"/>
    <col min="10327" max="10327" width="17.28515625" style="1" customWidth="1"/>
    <col min="10328" max="10498" width="8.42578125" style="1"/>
    <col min="10499" max="10499" width="10.42578125" style="1" customWidth="1"/>
    <col min="10500" max="10500" width="17.85546875" style="1" customWidth="1"/>
    <col min="10501" max="10501" width="10.5703125" style="1" customWidth="1"/>
    <col min="10502" max="10502" width="9.7109375" style="1" customWidth="1"/>
    <col min="10503" max="10507" width="8.28515625" style="1" customWidth="1"/>
    <col min="10508" max="10508" width="9.7109375" style="1" customWidth="1"/>
    <col min="10509" max="10509" width="8.28515625" style="1" customWidth="1"/>
    <col min="10510" max="10510" width="17.7109375" style="1" customWidth="1"/>
    <col min="10511" max="10511" width="6" style="1" customWidth="1"/>
    <col min="10512" max="10512" width="5.42578125" style="1" customWidth="1"/>
    <col min="10513" max="10513" width="6.5703125" style="1" customWidth="1"/>
    <col min="10514" max="10514" width="5.5703125" style="1" customWidth="1"/>
    <col min="10515" max="10515" width="5.140625" style="1" customWidth="1"/>
    <col min="10516" max="10516" width="7" style="1" customWidth="1"/>
    <col min="10517" max="10517" width="5.140625" style="1" customWidth="1"/>
    <col min="10518" max="10518" width="5.7109375" style="1" customWidth="1"/>
    <col min="10519" max="10520" width="6" style="1" customWidth="1"/>
    <col min="10521" max="10521" width="5" style="1" customWidth="1"/>
    <col min="10522" max="10522" width="6.42578125" style="1" customWidth="1"/>
    <col min="10523" max="10523" width="9.28515625" style="1" customWidth="1"/>
    <col min="10524" max="10525" width="6.85546875" style="1" customWidth="1"/>
    <col min="10526" max="10526" width="17.42578125" style="1" customWidth="1"/>
    <col min="10527" max="10544" width="5.7109375" style="1" customWidth="1"/>
    <col min="10545" max="10545" width="9.28515625" style="1" customWidth="1"/>
    <col min="10546" max="10546" width="6.7109375" style="1" customWidth="1"/>
    <col min="10547" max="10548" width="6.28515625" style="1" customWidth="1"/>
    <col min="10549" max="10549" width="18.140625" style="1" customWidth="1"/>
    <col min="10550" max="10564" width="5.7109375" style="1" customWidth="1"/>
    <col min="10565" max="10565" width="10.140625" style="1" customWidth="1"/>
    <col min="10566" max="10566" width="6.5703125" style="1" customWidth="1"/>
    <col min="10567" max="10579" width="5.7109375" style="1" customWidth="1"/>
    <col min="10580" max="10580" width="10.42578125" style="1" customWidth="1"/>
    <col min="10581" max="10581" width="6.7109375" style="1" customWidth="1"/>
    <col min="10582" max="10582" width="6.140625" style="1" customWidth="1"/>
    <col min="10583" max="10583" width="17.28515625" style="1" customWidth="1"/>
    <col min="10584" max="10754" width="8.42578125" style="1"/>
    <col min="10755" max="10755" width="10.42578125" style="1" customWidth="1"/>
    <col min="10756" max="10756" width="17.85546875" style="1" customWidth="1"/>
    <col min="10757" max="10757" width="10.5703125" style="1" customWidth="1"/>
    <col min="10758" max="10758" width="9.7109375" style="1" customWidth="1"/>
    <col min="10759" max="10763" width="8.28515625" style="1" customWidth="1"/>
    <col min="10764" max="10764" width="9.7109375" style="1" customWidth="1"/>
    <col min="10765" max="10765" width="8.28515625" style="1" customWidth="1"/>
    <col min="10766" max="10766" width="17.7109375" style="1" customWidth="1"/>
    <col min="10767" max="10767" width="6" style="1" customWidth="1"/>
    <col min="10768" max="10768" width="5.42578125" style="1" customWidth="1"/>
    <col min="10769" max="10769" width="6.5703125" style="1" customWidth="1"/>
    <col min="10770" max="10770" width="5.5703125" style="1" customWidth="1"/>
    <col min="10771" max="10771" width="5.140625" style="1" customWidth="1"/>
    <col min="10772" max="10772" width="7" style="1" customWidth="1"/>
    <col min="10773" max="10773" width="5.140625" style="1" customWidth="1"/>
    <col min="10774" max="10774" width="5.7109375" style="1" customWidth="1"/>
    <col min="10775" max="10776" width="6" style="1" customWidth="1"/>
    <col min="10777" max="10777" width="5" style="1" customWidth="1"/>
    <col min="10778" max="10778" width="6.42578125" style="1" customWidth="1"/>
    <col min="10779" max="10779" width="9.28515625" style="1" customWidth="1"/>
    <col min="10780" max="10781" width="6.85546875" style="1" customWidth="1"/>
    <col min="10782" max="10782" width="17.42578125" style="1" customWidth="1"/>
    <col min="10783" max="10800" width="5.7109375" style="1" customWidth="1"/>
    <col min="10801" max="10801" width="9.28515625" style="1" customWidth="1"/>
    <col min="10802" max="10802" width="6.7109375" style="1" customWidth="1"/>
    <col min="10803" max="10804" width="6.28515625" style="1" customWidth="1"/>
    <col min="10805" max="10805" width="18.140625" style="1" customWidth="1"/>
    <col min="10806" max="10820" width="5.7109375" style="1" customWidth="1"/>
    <col min="10821" max="10821" width="10.140625" style="1" customWidth="1"/>
    <col min="10822" max="10822" width="6.5703125" style="1" customWidth="1"/>
    <col min="10823" max="10835" width="5.7109375" style="1" customWidth="1"/>
    <col min="10836" max="10836" width="10.42578125" style="1" customWidth="1"/>
    <col min="10837" max="10837" width="6.7109375" style="1" customWidth="1"/>
    <col min="10838" max="10838" width="6.140625" style="1" customWidth="1"/>
    <col min="10839" max="10839" width="17.28515625" style="1" customWidth="1"/>
    <col min="10840" max="11010" width="8.42578125" style="1"/>
    <col min="11011" max="11011" width="10.42578125" style="1" customWidth="1"/>
    <col min="11012" max="11012" width="17.85546875" style="1" customWidth="1"/>
    <col min="11013" max="11013" width="10.5703125" style="1" customWidth="1"/>
    <col min="11014" max="11014" width="9.7109375" style="1" customWidth="1"/>
    <col min="11015" max="11019" width="8.28515625" style="1" customWidth="1"/>
    <col min="11020" max="11020" width="9.7109375" style="1" customWidth="1"/>
    <col min="11021" max="11021" width="8.28515625" style="1" customWidth="1"/>
    <col min="11022" max="11022" width="17.7109375" style="1" customWidth="1"/>
    <col min="11023" max="11023" width="6" style="1" customWidth="1"/>
    <col min="11024" max="11024" width="5.42578125" style="1" customWidth="1"/>
    <col min="11025" max="11025" width="6.5703125" style="1" customWidth="1"/>
    <col min="11026" max="11026" width="5.5703125" style="1" customWidth="1"/>
    <col min="11027" max="11027" width="5.140625" style="1" customWidth="1"/>
    <col min="11028" max="11028" width="7" style="1" customWidth="1"/>
    <col min="11029" max="11029" width="5.140625" style="1" customWidth="1"/>
    <col min="11030" max="11030" width="5.7109375" style="1" customWidth="1"/>
    <col min="11031" max="11032" width="6" style="1" customWidth="1"/>
    <col min="11033" max="11033" width="5" style="1" customWidth="1"/>
    <col min="11034" max="11034" width="6.42578125" style="1" customWidth="1"/>
    <col min="11035" max="11035" width="9.28515625" style="1" customWidth="1"/>
    <col min="11036" max="11037" width="6.85546875" style="1" customWidth="1"/>
    <col min="11038" max="11038" width="17.42578125" style="1" customWidth="1"/>
    <col min="11039" max="11056" width="5.7109375" style="1" customWidth="1"/>
    <col min="11057" max="11057" width="9.28515625" style="1" customWidth="1"/>
    <col min="11058" max="11058" width="6.7109375" style="1" customWidth="1"/>
    <col min="11059" max="11060" width="6.28515625" style="1" customWidth="1"/>
    <col min="11061" max="11061" width="18.140625" style="1" customWidth="1"/>
    <col min="11062" max="11076" width="5.7109375" style="1" customWidth="1"/>
    <col min="11077" max="11077" width="10.140625" style="1" customWidth="1"/>
    <col min="11078" max="11078" width="6.5703125" style="1" customWidth="1"/>
    <col min="11079" max="11091" width="5.7109375" style="1" customWidth="1"/>
    <col min="11092" max="11092" width="10.42578125" style="1" customWidth="1"/>
    <col min="11093" max="11093" width="6.7109375" style="1" customWidth="1"/>
    <col min="11094" max="11094" width="6.140625" style="1" customWidth="1"/>
    <col min="11095" max="11095" width="17.28515625" style="1" customWidth="1"/>
    <col min="11096" max="11266" width="8.42578125" style="1"/>
    <col min="11267" max="11267" width="10.42578125" style="1" customWidth="1"/>
    <col min="11268" max="11268" width="17.85546875" style="1" customWidth="1"/>
    <col min="11269" max="11269" width="10.5703125" style="1" customWidth="1"/>
    <col min="11270" max="11270" width="9.7109375" style="1" customWidth="1"/>
    <col min="11271" max="11275" width="8.28515625" style="1" customWidth="1"/>
    <col min="11276" max="11276" width="9.7109375" style="1" customWidth="1"/>
    <col min="11277" max="11277" width="8.28515625" style="1" customWidth="1"/>
    <col min="11278" max="11278" width="17.7109375" style="1" customWidth="1"/>
    <col min="11279" max="11279" width="6" style="1" customWidth="1"/>
    <col min="11280" max="11280" width="5.42578125" style="1" customWidth="1"/>
    <col min="11281" max="11281" width="6.5703125" style="1" customWidth="1"/>
    <col min="11282" max="11282" width="5.5703125" style="1" customWidth="1"/>
    <col min="11283" max="11283" width="5.140625" style="1" customWidth="1"/>
    <col min="11284" max="11284" width="7" style="1" customWidth="1"/>
    <col min="11285" max="11285" width="5.140625" style="1" customWidth="1"/>
    <col min="11286" max="11286" width="5.7109375" style="1" customWidth="1"/>
    <col min="11287" max="11288" width="6" style="1" customWidth="1"/>
    <col min="11289" max="11289" width="5" style="1" customWidth="1"/>
    <col min="11290" max="11290" width="6.42578125" style="1" customWidth="1"/>
    <col min="11291" max="11291" width="9.28515625" style="1" customWidth="1"/>
    <col min="11292" max="11293" width="6.85546875" style="1" customWidth="1"/>
    <col min="11294" max="11294" width="17.42578125" style="1" customWidth="1"/>
    <col min="11295" max="11312" width="5.7109375" style="1" customWidth="1"/>
    <col min="11313" max="11313" width="9.28515625" style="1" customWidth="1"/>
    <col min="11314" max="11314" width="6.7109375" style="1" customWidth="1"/>
    <col min="11315" max="11316" width="6.28515625" style="1" customWidth="1"/>
    <col min="11317" max="11317" width="18.140625" style="1" customWidth="1"/>
    <col min="11318" max="11332" width="5.7109375" style="1" customWidth="1"/>
    <col min="11333" max="11333" width="10.140625" style="1" customWidth="1"/>
    <col min="11334" max="11334" width="6.5703125" style="1" customWidth="1"/>
    <col min="11335" max="11347" width="5.7109375" style="1" customWidth="1"/>
    <col min="11348" max="11348" width="10.42578125" style="1" customWidth="1"/>
    <col min="11349" max="11349" width="6.7109375" style="1" customWidth="1"/>
    <col min="11350" max="11350" width="6.140625" style="1" customWidth="1"/>
    <col min="11351" max="11351" width="17.28515625" style="1" customWidth="1"/>
    <col min="11352" max="11522" width="8.42578125" style="1"/>
    <col min="11523" max="11523" width="10.42578125" style="1" customWidth="1"/>
    <col min="11524" max="11524" width="17.85546875" style="1" customWidth="1"/>
    <col min="11525" max="11525" width="10.5703125" style="1" customWidth="1"/>
    <col min="11526" max="11526" width="9.7109375" style="1" customWidth="1"/>
    <col min="11527" max="11531" width="8.28515625" style="1" customWidth="1"/>
    <col min="11532" max="11532" width="9.7109375" style="1" customWidth="1"/>
    <col min="11533" max="11533" width="8.28515625" style="1" customWidth="1"/>
    <col min="11534" max="11534" width="17.7109375" style="1" customWidth="1"/>
    <col min="11535" max="11535" width="6" style="1" customWidth="1"/>
    <col min="11536" max="11536" width="5.42578125" style="1" customWidth="1"/>
    <col min="11537" max="11537" width="6.5703125" style="1" customWidth="1"/>
    <col min="11538" max="11538" width="5.5703125" style="1" customWidth="1"/>
    <col min="11539" max="11539" width="5.140625" style="1" customWidth="1"/>
    <col min="11540" max="11540" width="7" style="1" customWidth="1"/>
    <col min="11541" max="11541" width="5.140625" style="1" customWidth="1"/>
    <col min="11542" max="11542" width="5.7109375" style="1" customWidth="1"/>
    <col min="11543" max="11544" width="6" style="1" customWidth="1"/>
    <col min="11545" max="11545" width="5" style="1" customWidth="1"/>
    <col min="11546" max="11546" width="6.42578125" style="1" customWidth="1"/>
    <col min="11547" max="11547" width="9.28515625" style="1" customWidth="1"/>
    <col min="11548" max="11549" width="6.85546875" style="1" customWidth="1"/>
    <col min="11550" max="11550" width="17.42578125" style="1" customWidth="1"/>
    <col min="11551" max="11568" width="5.7109375" style="1" customWidth="1"/>
    <col min="11569" max="11569" width="9.28515625" style="1" customWidth="1"/>
    <col min="11570" max="11570" width="6.7109375" style="1" customWidth="1"/>
    <col min="11571" max="11572" width="6.28515625" style="1" customWidth="1"/>
    <col min="11573" max="11573" width="18.140625" style="1" customWidth="1"/>
    <col min="11574" max="11588" width="5.7109375" style="1" customWidth="1"/>
    <col min="11589" max="11589" width="10.140625" style="1" customWidth="1"/>
    <col min="11590" max="11590" width="6.5703125" style="1" customWidth="1"/>
    <col min="11591" max="11603" width="5.7109375" style="1" customWidth="1"/>
    <col min="11604" max="11604" width="10.42578125" style="1" customWidth="1"/>
    <col min="11605" max="11605" width="6.7109375" style="1" customWidth="1"/>
    <col min="11606" max="11606" width="6.140625" style="1" customWidth="1"/>
    <col min="11607" max="11607" width="17.28515625" style="1" customWidth="1"/>
    <col min="11608" max="11778" width="8.42578125" style="1"/>
    <col min="11779" max="11779" width="10.42578125" style="1" customWidth="1"/>
    <col min="11780" max="11780" width="17.85546875" style="1" customWidth="1"/>
    <col min="11781" max="11781" width="10.5703125" style="1" customWidth="1"/>
    <col min="11782" max="11782" width="9.7109375" style="1" customWidth="1"/>
    <col min="11783" max="11787" width="8.28515625" style="1" customWidth="1"/>
    <col min="11788" max="11788" width="9.7109375" style="1" customWidth="1"/>
    <col min="11789" max="11789" width="8.28515625" style="1" customWidth="1"/>
    <col min="11790" max="11790" width="17.7109375" style="1" customWidth="1"/>
    <col min="11791" max="11791" width="6" style="1" customWidth="1"/>
    <col min="11792" max="11792" width="5.42578125" style="1" customWidth="1"/>
    <col min="11793" max="11793" width="6.5703125" style="1" customWidth="1"/>
    <col min="11794" max="11794" width="5.5703125" style="1" customWidth="1"/>
    <col min="11795" max="11795" width="5.140625" style="1" customWidth="1"/>
    <col min="11796" max="11796" width="7" style="1" customWidth="1"/>
    <col min="11797" max="11797" width="5.140625" style="1" customWidth="1"/>
    <col min="11798" max="11798" width="5.7109375" style="1" customWidth="1"/>
    <col min="11799" max="11800" width="6" style="1" customWidth="1"/>
    <col min="11801" max="11801" width="5" style="1" customWidth="1"/>
    <col min="11802" max="11802" width="6.42578125" style="1" customWidth="1"/>
    <col min="11803" max="11803" width="9.28515625" style="1" customWidth="1"/>
    <col min="11804" max="11805" width="6.85546875" style="1" customWidth="1"/>
    <col min="11806" max="11806" width="17.42578125" style="1" customWidth="1"/>
    <col min="11807" max="11824" width="5.7109375" style="1" customWidth="1"/>
    <col min="11825" max="11825" width="9.28515625" style="1" customWidth="1"/>
    <col min="11826" max="11826" width="6.7109375" style="1" customWidth="1"/>
    <col min="11827" max="11828" width="6.28515625" style="1" customWidth="1"/>
    <col min="11829" max="11829" width="18.140625" style="1" customWidth="1"/>
    <col min="11830" max="11844" width="5.7109375" style="1" customWidth="1"/>
    <col min="11845" max="11845" width="10.140625" style="1" customWidth="1"/>
    <col min="11846" max="11846" width="6.5703125" style="1" customWidth="1"/>
    <col min="11847" max="11859" width="5.7109375" style="1" customWidth="1"/>
    <col min="11860" max="11860" width="10.42578125" style="1" customWidth="1"/>
    <col min="11861" max="11861" width="6.7109375" style="1" customWidth="1"/>
    <col min="11862" max="11862" width="6.140625" style="1" customWidth="1"/>
    <col min="11863" max="11863" width="17.28515625" style="1" customWidth="1"/>
    <col min="11864" max="12034" width="8.42578125" style="1"/>
    <col min="12035" max="12035" width="10.42578125" style="1" customWidth="1"/>
    <col min="12036" max="12036" width="17.85546875" style="1" customWidth="1"/>
    <col min="12037" max="12037" width="10.5703125" style="1" customWidth="1"/>
    <col min="12038" max="12038" width="9.7109375" style="1" customWidth="1"/>
    <col min="12039" max="12043" width="8.28515625" style="1" customWidth="1"/>
    <col min="12044" max="12044" width="9.7109375" style="1" customWidth="1"/>
    <col min="12045" max="12045" width="8.28515625" style="1" customWidth="1"/>
    <col min="12046" max="12046" width="17.7109375" style="1" customWidth="1"/>
    <col min="12047" max="12047" width="6" style="1" customWidth="1"/>
    <col min="12048" max="12048" width="5.42578125" style="1" customWidth="1"/>
    <col min="12049" max="12049" width="6.5703125" style="1" customWidth="1"/>
    <col min="12050" max="12050" width="5.5703125" style="1" customWidth="1"/>
    <col min="12051" max="12051" width="5.140625" style="1" customWidth="1"/>
    <col min="12052" max="12052" width="7" style="1" customWidth="1"/>
    <col min="12053" max="12053" width="5.140625" style="1" customWidth="1"/>
    <col min="12054" max="12054" width="5.7109375" style="1" customWidth="1"/>
    <col min="12055" max="12056" width="6" style="1" customWidth="1"/>
    <col min="12057" max="12057" width="5" style="1" customWidth="1"/>
    <col min="12058" max="12058" width="6.42578125" style="1" customWidth="1"/>
    <col min="12059" max="12059" width="9.28515625" style="1" customWidth="1"/>
    <col min="12060" max="12061" width="6.85546875" style="1" customWidth="1"/>
    <col min="12062" max="12062" width="17.42578125" style="1" customWidth="1"/>
    <col min="12063" max="12080" width="5.7109375" style="1" customWidth="1"/>
    <col min="12081" max="12081" width="9.28515625" style="1" customWidth="1"/>
    <col min="12082" max="12082" width="6.7109375" style="1" customWidth="1"/>
    <col min="12083" max="12084" width="6.28515625" style="1" customWidth="1"/>
    <col min="12085" max="12085" width="18.140625" style="1" customWidth="1"/>
    <col min="12086" max="12100" width="5.7109375" style="1" customWidth="1"/>
    <col min="12101" max="12101" width="10.140625" style="1" customWidth="1"/>
    <col min="12102" max="12102" width="6.5703125" style="1" customWidth="1"/>
    <col min="12103" max="12115" width="5.7109375" style="1" customWidth="1"/>
    <col min="12116" max="12116" width="10.42578125" style="1" customWidth="1"/>
    <col min="12117" max="12117" width="6.7109375" style="1" customWidth="1"/>
    <col min="12118" max="12118" width="6.140625" style="1" customWidth="1"/>
    <col min="12119" max="12119" width="17.28515625" style="1" customWidth="1"/>
    <col min="12120" max="12290" width="8.42578125" style="1"/>
    <col min="12291" max="12291" width="10.42578125" style="1" customWidth="1"/>
    <col min="12292" max="12292" width="17.85546875" style="1" customWidth="1"/>
    <col min="12293" max="12293" width="10.5703125" style="1" customWidth="1"/>
    <col min="12294" max="12294" width="9.7109375" style="1" customWidth="1"/>
    <col min="12295" max="12299" width="8.28515625" style="1" customWidth="1"/>
    <col min="12300" max="12300" width="9.7109375" style="1" customWidth="1"/>
    <col min="12301" max="12301" width="8.28515625" style="1" customWidth="1"/>
    <col min="12302" max="12302" width="17.7109375" style="1" customWidth="1"/>
    <col min="12303" max="12303" width="6" style="1" customWidth="1"/>
    <col min="12304" max="12304" width="5.42578125" style="1" customWidth="1"/>
    <col min="12305" max="12305" width="6.5703125" style="1" customWidth="1"/>
    <col min="12306" max="12306" width="5.5703125" style="1" customWidth="1"/>
    <col min="12307" max="12307" width="5.140625" style="1" customWidth="1"/>
    <col min="12308" max="12308" width="7" style="1" customWidth="1"/>
    <col min="12309" max="12309" width="5.140625" style="1" customWidth="1"/>
    <col min="12310" max="12310" width="5.7109375" style="1" customWidth="1"/>
    <col min="12311" max="12312" width="6" style="1" customWidth="1"/>
    <col min="12313" max="12313" width="5" style="1" customWidth="1"/>
    <col min="12314" max="12314" width="6.42578125" style="1" customWidth="1"/>
    <col min="12315" max="12315" width="9.28515625" style="1" customWidth="1"/>
    <col min="12316" max="12317" width="6.85546875" style="1" customWidth="1"/>
    <col min="12318" max="12318" width="17.42578125" style="1" customWidth="1"/>
    <col min="12319" max="12336" width="5.7109375" style="1" customWidth="1"/>
    <col min="12337" max="12337" width="9.28515625" style="1" customWidth="1"/>
    <col min="12338" max="12338" width="6.7109375" style="1" customWidth="1"/>
    <col min="12339" max="12340" width="6.28515625" style="1" customWidth="1"/>
    <col min="12341" max="12341" width="18.140625" style="1" customWidth="1"/>
    <col min="12342" max="12356" width="5.7109375" style="1" customWidth="1"/>
    <col min="12357" max="12357" width="10.140625" style="1" customWidth="1"/>
    <col min="12358" max="12358" width="6.5703125" style="1" customWidth="1"/>
    <col min="12359" max="12371" width="5.7109375" style="1" customWidth="1"/>
    <col min="12372" max="12372" width="10.42578125" style="1" customWidth="1"/>
    <col min="12373" max="12373" width="6.7109375" style="1" customWidth="1"/>
    <col min="12374" max="12374" width="6.140625" style="1" customWidth="1"/>
    <col min="12375" max="12375" width="17.28515625" style="1" customWidth="1"/>
    <col min="12376" max="12546" width="8.42578125" style="1"/>
    <col min="12547" max="12547" width="10.42578125" style="1" customWidth="1"/>
    <col min="12548" max="12548" width="17.85546875" style="1" customWidth="1"/>
    <col min="12549" max="12549" width="10.5703125" style="1" customWidth="1"/>
    <col min="12550" max="12550" width="9.7109375" style="1" customWidth="1"/>
    <col min="12551" max="12555" width="8.28515625" style="1" customWidth="1"/>
    <col min="12556" max="12556" width="9.7109375" style="1" customWidth="1"/>
    <col min="12557" max="12557" width="8.28515625" style="1" customWidth="1"/>
    <col min="12558" max="12558" width="17.7109375" style="1" customWidth="1"/>
    <col min="12559" max="12559" width="6" style="1" customWidth="1"/>
    <col min="12560" max="12560" width="5.42578125" style="1" customWidth="1"/>
    <col min="12561" max="12561" width="6.5703125" style="1" customWidth="1"/>
    <col min="12562" max="12562" width="5.5703125" style="1" customWidth="1"/>
    <col min="12563" max="12563" width="5.140625" style="1" customWidth="1"/>
    <col min="12564" max="12564" width="7" style="1" customWidth="1"/>
    <col min="12565" max="12565" width="5.140625" style="1" customWidth="1"/>
    <col min="12566" max="12566" width="5.7109375" style="1" customWidth="1"/>
    <col min="12567" max="12568" width="6" style="1" customWidth="1"/>
    <col min="12569" max="12569" width="5" style="1" customWidth="1"/>
    <col min="12570" max="12570" width="6.42578125" style="1" customWidth="1"/>
    <col min="12571" max="12571" width="9.28515625" style="1" customWidth="1"/>
    <col min="12572" max="12573" width="6.85546875" style="1" customWidth="1"/>
    <col min="12574" max="12574" width="17.42578125" style="1" customWidth="1"/>
    <col min="12575" max="12592" width="5.7109375" style="1" customWidth="1"/>
    <col min="12593" max="12593" width="9.28515625" style="1" customWidth="1"/>
    <col min="12594" max="12594" width="6.7109375" style="1" customWidth="1"/>
    <col min="12595" max="12596" width="6.28515625" style="1" customWidth="1"/>
    <col min="12597" max="12597" width="18.140625" style="1" customWidth="1"/>
    <col min="12598" max="12612" width="5.7109375" style="1" customWidth="1"/>
    <col min="12613" max="12613" width="10.140625" style="1" customWidth="1"/>
    <col min="12614" max="12614" width="6.5703125" style="1" customWidth="1"/>
    <col min="12615" max="12627" width="5.7109375" style="1" customWidth="1"/>
    <col min="12628" max="12628" width="10.42578125" style="1" customWidth="1"/>
    <col min="12629" max="12629" width="6.7109375" style="1" customWidth="1"/>
    <col min="12630" max="12630" width="6.140625" style="1" customWidth="1"/>
    <col min="12631" max="12631" width="17.28515625" style="1" customWidth="1"/>
    <col min="12632" max="12802" width="8.42578125" style="1"/>
    <col min="12803" max="12803" width="10.42578125" style="1" customWidth="1"/>
    <col min="12804" max="12804" width="17.85546875" style="1" customWidth="1"/>
    <col min="12805" max="12805" width="10.5703125" style="1" customWidth="1"/>
    <col min="12806" max="12806" width="9.7109375" style="1" customWidth="1"/>
    <col min="12807" max="12811" width="8.28515625" style="1" customWidth="1"/>
    <col min="12812" max="12812" width="9.7109375" style="1" customWidth="1"/>
    <col min="12813" max="12813" width="8.28515625" style="1" customWidth="1"/>
    <col min="12814" max="12814" width="17.7109375" style="1" customWidth="1"/>
    <col min="12815" max="12815" width="6" style="1" customWidth="1"/>
    <col min="12816" max="12816" width="5.42578125" style="1" customWidth="1"/>
    <col min="12817" max="12817" width="6.5703125" style="1" customWidth="1"/>
    <col min="12818" max="12818" width="5.5703125" style="1" customWidth="1"/>
    <col min="12819" max="12819" width="5.140625" style="1" customWidth="1"/>
    <col min="12820" max="12820" width="7" style="1" customWidth="1"/>
    <col min="12821" max="12821" width="5.140625" style="1" customWidth="1"/>
    <col min="12822" max="12822" width="5.7109375" style="1" customWidth="1"/>
    <col min="12823" max="12824" width="6" style="1" customWidth="1"/>
    <col min="12825" max="12825" width="5" style="1" customWidth="1"/>
    <col min="12826" max="12826" width="6.42578125" style="1" customWidth="1"/>
    <col min="12827" max="12827" width="9.28515625" style="1" customWidth="1"/>
    <col min="12828" max="12829" width="6.85546875" style="1" customWidth="1"/>
    <col min="12830" max="12830" width="17.42578125" style="1" customWidth="1"/>
    <col min="12831" max="12848" width="5.7109375" style="1" customWidth="1"/>
    <col min="12849" max="12849" width="9.28515625" style="1" customWidth="1"/>
    <col min="12850" max="12850" width="6.7109375" style="1" customWidth="1"/>
    <col min="12851" max="12852" width="6.28515625" style="1" customWidth="1"/>
    <col min="12853" max="12853" width="18.140625" style="1" customWidth="1"/>
    <col min="12854" max="12868" width="5.7109375" style="1" customWidth="1"/>
    <col min="12869" max="12869" width="10.140625" style="1" customWidth="1"/>
    <col min="12870" max="12870" width="6.5703125" style="1" customWidth="1"/>
    <col min="12871" max="12883" width="5.7109375" style="1" customWidth="1"/>
    <col min="12884" max="12884" width="10.42578125" style="1" customWidth="1"/>
    <col min="12885" max="12885" width="6.7109375" style="1" customWidth="1"/>
    <col min="12886" max="12886" width="6.140625" style="1" customWidth="1"/>
    <col min="12887" max="12887" width="17.28515625" style="1" customWidth="1"/>
    <col min="12888" max="13058" width="8.42578125" style="1"/>
    <col min="13059" max="13059" width="10.42578125" style="1" customWidth="1"/>
    <col min="13060" max="13060" width="17.85546875" style="1" customWidth="1"/>
    <col min="13061" max="13061" width="10.5703125" style="1" customWidth="1"/>
    <col min="13062" max="13062" width="9.7109375" style="1" customWidth="1"/>
    <col min="13063" max="13067" width="8.28515625" style="1" customWidth="1"/>
    <col min="13068" max="13068" width="9.7109375" style="1" customWidth="1"/>
    <col min="13069" max="13069" width="8.28515625" style="1" customWidth="1"/>
    <col min="13070" max="13070" width="17.7109375" style="1" customWidth="1"/>
    <col min="13071" max="13071" width="6" style="1" customWidth="1"/>
    <col min="13072" max="13072" width="5.42578125" style="1" customWidth="1"/>
    <col min="13073" max="13073" width="6.5703125" style="1" customWidth="1"/>
    <col min="13074" max="13074" width="5.5703125" style="1" customWidth="1"/>
    <col min="13075" max="13075" width="5.140625" style="1" customWidth="1"/>
    <col min="13076" max="13076" width="7" style="1" customWidth="1"/>
    <col min="13077" max="13077" width="5.140625" style="1" customWidth="1"/>
    <col min="13078" max="13078" width="5.7109375" style="1" customWidth="1"/>
    <col min="13079" max="13080" width="6" style="1" customWidth="1"/>
    <col min="13081" max="13081" width="5" style="1" customWidth="1"/>
    <col min="13082" max="13082" width="6.42578125" style="1" customWidth="1"/>
    <col min="13083" max="13083" width="9.28515625" style="1" customWidth="1"/>
    <col min="13084" max="13085" width="6.85546875" style="1" customWidth="1"/>
    <col min="13086" max="13086" width="17.42578125" style="1" customWidth="1"/>
    <col min="13087" max="13104" width="5.7109375" style="1" customWidth="1"/>
    <col min="13105" max="13105" width="9.28515625" style="1" customWidth="1"/>
    <col min="13106" max="13106" width="6.7109375" style="1" customWidth="1"/>
    <col min="13107" max="13108" width="6.28515625" style="1" customWidth="1"/>
    <col min="13109" max="13109" width="18.140625" style="1" customWidth="1"/>
    <col min="13110" max="13124" width="5.7109375" style="1" customWidth="1"/>
    <col min="13125" max="13125" width="10.140625" style="1" customWidth="1"/>
    <col min="13126" max="13126" width="6.5703125" style="1" customWidth="1"/>
    <col min="13127" max="13139" width="5.7109375" style="1" customWidth="1"/>
    <col min="13140" max="13140" width="10.42578125" style="1" customWidth="1"/>
    <col min="13141" max="13141" width="6.7109375" style="1" customWidth="1"/>
    <col min="13142" max="13142" width="6.140625" style="1" customWidth="1"/>
    <col min="13143" max="13143" width="17.28515625" style="1" customWidth="1"/>
    <col min="13144" max="13314" width="8.42578125" style="1"/>
    <col min="13315" max="13315" width="10.42578125" style="1" customWidth="1"/>
    <col min="13316" max="13316" width="17.85546875" style="1" customWidth="1"/>
    <col min="13317" max="13317" width="10.5703125" style="1" customWidth="1"/>
    <col min="13318" max="13318" width="9.7109375" style="1" customWidth="1"/>
    <col min="13319" max="13323" width="8.28515625" style="1" customWidth="1"/>
    <col min="13324" max="13324" width="9.7109375" style="1" customWidth="1"/>
    <col min="13325" max="13325" width="8.28515625" style="1" customWidth="1"/>
    <col min="13326" max="13326" width="17.7109375" style="1" customWidth="1"/>
    <col min="13327" max="13327" width="6" style="1" customWidth="1"/>
    <col min="13328" max="13328" width="5.42578125" style="1" customWidth="1"/>
    <col min="13329" max="13329" width="6.5703125" style="1" customWidth="1"/>
    <col min="13330" max="13330" width="5.5703125" style="1" customWidth="1"/>
    <col min="13331" max="13331" width="5.140625" style="1" customWidth="1"/>
    <col min="13332" max="13332" width="7" style="1" customWidth="1"/>
    <col min="13333" max="13333" width="5.140625" style="1" customWidth="1"/>
    <col min="13334" max="13334" width="5.7109375" style="1" customWidth="1"/>
    <col min="13335" max="13336" width="6" style="1" customWidth="1"/>
    <col min="13337" max="13337" width="5" style="1" customWidth="1"/>
    <col min="13338" max="13338" width="6.42578125" style="1" customWidth="1"/>
    <col min="13339" max="13339" width="9.28515625" style="1" customWidth="1"/>
    <col min="13340" max="13341" width="6.85546875" style="1" customWidth="1"/>
    <col min="13342" max="13342" width="17.42578125" style="1" customWidth="1"/>
    <col min="13343" max="13360" width="5.7109375" style="1" customWidth="1"/>
    <col min="13361" max="13361" width="9.28515625" style="1" customWidth="1"/>
    <col min="13362" max="13362" width="6.7109375" style="1" customWidth="1"/>
    <col min="13363" max="13364" width="6.28515625" style="1" customWidth="1"/>
    <col min="13365" max="13365" width="18.140625" style="1" customWidth="1"/>
    <col min="13366" max="13380" width="5.7109375" style="1" customWidth="1"/>
    <col min="13381" max="13381" width="10.140625" style="1" customWidth="1"/>
    <col min="13382" max="13382" width="6.5703125" style="1" customWidth="1"/>
    <col min="13383" max="13395" width="5.7109375" style="1" customWidth="1"/>
    <col min="13396" max="13396" width="10.42578125" style="1" customWidth="1"/>
    <col min="13397" max="13397" width="6.7109375" style="1" customWidth="1"/>
    <col min="13398" max="13398" width="6.140625" style="1" customWidth="1"/>
    <col min="13399" max="13399" width="17.28515625" style="1" customWidth="1"/>
    <col min="13400" max="13570" width="8.42578125" style="1"/>
    <col min="13571" max="13571" width="10.42578125" style="1" customWidth="1"/>
    <col min="13572" max="13572" width="17.85546875" style="1" customWidth="1"/>
    <col min="13573" max="13573" width="10.5703125" style="1" customWidth="1"/>
    <col min="13574" max="13574" width="9.7109375" style="1" customWidth="1"/>
    <col min="13575" max="13579" width="8.28515625" style="1" customWidth="1"/>
    <col min="13580" max="13580" width="9.7109375" style="1" customWidth="1"/>
    <col min="13581" max="13581" width="8.28515625" style="1" customWidth="1"/>
    <col min="13582" max="13582" width="17.7109375" style="1" customWidth="1"/>
    <col min="13583" max="13583" width="6" style="1" customWidth="1"/>
    <col min="13584" max="13584" width="5.42578125" style="1" customWidth="1"/>
    <col min="13585" max="13585" width="6.5703125" style="1" customWidth="1"/>
    <col min="13586" max="13586" width="5.5703125" style="1" customWidth="1"/>
    <col min="13587" max="13587" width="5.140625" style="1" customWidth="1"/>
    <col min="13588" max="13588" width="7" style="1" customWidth="1"/>
    <col min="13589" max="13589" width="5.140625" style="1" customWidth="1"/>
    <col min="13590" max="13590" width="5.7109375" style="1" customWidth="1"/>
    <col min="13591" max="13592" width="6" style="1" customWidth="1"/>
    <col min="13593" max="13593" width="5" style="1" customWidth="1"/>
    <col min="13594" max="13594" width="6.42578125" style="1" customWidth="1"/>
    <col min="13595" max="13595" width="9.28515625" style="1" customWidth="1"/>
    <col min="13596" max="13597" width="6.85546875" style="1" customWidth="1"/>
    <col min="13598" max="13598" width="17.42578125" style="1" customWidth="1"/>
    <col min="13599" max="13616" width="5.7109375" style="1" customWidth="1"/>
    <col min="13617" max="13617" width="9.28515625" style="1" customWidth="1"/>
    <col min="13618" max="13618" width="6.7109375" style="1" customWidth="1"/>
    <col min="13619" max="13620" width="6.28515625" style="1" customWidth="1"/>
    <col min="13621" max="13621" width="18.140625" style="1" customWidth="1"/>
    <col min="13622" max="13636" width="5.7109375" style="1" customWidth="1"/>
    <col min="13637" max="13637" width="10.140625" style="1" customWidth="1"/>
    <col min="13638" max="13638" width="6.5703125" style="1" customWidth="1"/>
    <col min="13639" max="13651" width="5.7109375" style="1" customWidth="1"/>
    <col min="13652" max="13652" width="10.42578125" style="1" customWidth="1"/>
    <col min="13653" max="13653" width="6.7109375" style="1" customWidth="1"/>
    <col min="13654" max="13654" width="6.140625" style="1" customWidth="1"/>
    <col min="13655" max="13655" width="17.28515625" style="1" customWidth="1"/>
    <col min="13656" max="13826" width="8.42578125" style="1"/>
    <col min="13827" max="13827" width="10.42578125" style="1" customWidth="1"/>
    <col min="13828" max="13828" width="17.85546875" style="1" customWidth="1"/>
    <col min="13829" max="13829" width="10.5703125" style="1" customWidth="1"/>
    <col min="13830" max="13830" width="9.7109375" style="1" customWidth="1"/>
    <col min="13831" max="13835" width="8.28515625" style="1" customWidth="1"/>
    <col min="13836" max="13836" width="9.7109375" style="1" customWidth="1"/>
    <col min="13837" max="13837" width="8.28515625" style="1" customWidth="1"/>
    <col min="13838" max="13838" width="17.7109375" style="1" customWidth="1"/>
    <col min="13839" max="13839" width="6" style="1" customWidth="1"/>
    <col min="13840" max="13840" width="5.42578125" style="1" customWidth="1"/>
    <col min="13841" max="13841" width="6.5703125" style="1" customWidth="1"/>
    <col min="13842" max="13842" width="5.5703125" style="1" customWidth="1"/>
    <col min="13843" max="13843" width="5.140625" style="1" customWidth="1"/>
    <col min="13844" max="13844" width="7" style="1" customWidth="1"/>
    <col min="13845" max="13845" width="5.140625" style="1" customWidth="1"/>
    <col min="13846" max="13846" width="5.7109375" style="1" customWidth="1"/>
    <col min="13847" max="13848" width="6" style="1" customWidth="1"/>
    <col min="13849" max="13849" width="5" style="1" customWidth="1"/>
    <col min="13850" max="13850" width="6.42578125" style="1" customWidth="1"/>
    <col min="13851" max="13851" width="9.28515625" style="1" customWidth="1"/>
    <col min="13852" max="13853" width="6.85546875" style="1" customWidth="1"/>
    <col min="13854" max="13854" width="17.42578125" style="1" customWidth="1"/>
    <col min="13855" max="13872" width="5.7109375" style="1" customWidth="1"/>
    <col min="13873" max="13873" width="9.28515625" style="1" customWidth="1"/>
    <col min="13874" max="13874" width="6.7109375" style="1" customWidth="1"/>
    <col min="13875" max="13876" width="6.28515625" style="1" customWidth="1"/>
    <col min="13877" max="13877" width="18.140625" style="1" customWidth="1"/>
    <col min="13878" max="13892" width="5.7109375" style="1" customWidth="1"/>
    <col min="13893" max="13893" width="10.140625" style="1" customWidth="1"/>
    <col min="13894" max="13894" width="6.5703125" style="1" customWidth="1"/>
    <col min="13895" max="13907" width="5.7109375" style="1" customWidth="1"/>
    <col min="13908" max="13908" width="10.42578125" style="1" customWidth="1"/>
    <col min="13909" max="13909" width="6.7109375" style="1" customWidth="1"/>
    <col min="13910" max="13910" width="6.140625" style="1" customWidth="1"/>
    <col min="13911" max="13911" width="17.28515625" style="1" customWidth="1"/>
    <col min="13912" max="14082" width="8.42578125" style="1"/>
    <col min="14083" max="14083" width="10.42578125" style="1" customWidth="1"/>
    <col min="14084" max="14084" width="17.85546875" style="1" customWidth="1"/>
    <col min="14085" max="14085" width="10.5703125" style="1" customWidth="1"/>
    <col min="14086" max="14086" width="9.7109375" style="1" customWidth="1"/>
    <col min="14087" max="14091" width="8.28515625" style="1" customWidth="1"/>
    <col min="14092" max="14092" width="9.7109375" style="1" customWidth="1"/>
    <col min="14093" max="14093" width="8.28515625" style="1" customWidth="1"/>
    <col min="14094" max="14094" width="17.7109375" style="1" customWidth="1"/>
    <col min="14095" max="14095" width="6" style="1" customWidth="1"/>
    <col min="14096" max="14096" width="5.42578125" style="1" customWidth="1"/>
    <col min="14097" max="14097" width="6.5703125" style="1" customWidth="1"/>
    <col min="14098" max="14098" width="5.5703125" style="1" customWidth="1"/>
    <col min="14099" max="14099" width="5.140625" style="1" customWidth="1"/>
    <col min="14100" max="14100" width="7" style="1" customWidth="1"/>
    <col min="14101" max="14101" width="5.140625" style="1" customWidth="1"/>
    <col min="14102" max="14102" width="5.7109375" style="1" customWidth="1"/>
    <col min="14103" max="14104" width="6" style="1" customWidth="1"/>
    <col min="14105" max="14105" width="5" style="1" customWidth="1"/>
    <col min="14106" max="14106" width="6.42578125" style="1" customWidth="1"/>
    <col min="14107" max="14107" width="9.28515625" style="1" customWidth="1"/>
    <col min="14108" max="14109" width="6.85546875" style="1" customWidth="1"/>
    <col min="14110" max="14110" width="17.42578125" style="1" customWidth="1"/>
    <col min="14111" max="14128" width="5.7109375" style="1" customWidth="1"/>
    <col min="14129" max="14129" width="9.28515625" style="1" customWidth="1"/>
    <col min="14130" max="14130" width="6.7109375" style="1" customWidth="1"/>
    <col min="14131" max="14132" width="6.28515625" style="1" customWidth="1"/>
    <col min="14133" max="14133" width="18.140625" style="1" customWidth="1"/>
    <col min="14134" max="14148" width="5.7109375" style="1" customWidth="1"/>
    <col min="14149" max="14149" width="10.140625" style="1" customWidth="1"/>
    <col min="14150" max="14150" width="6.5703125" style="1" customWidth="1"/>
    <col min="14151" max="14163" width="5.7109375" style="1" customWidth="1"/>
    <col min="14164" max="14164" width="10.42578125" style="1" customWidth="1"/>
    <col min="14165" max="14165" width="6.7109375" style="1" customWidth="1"/>
    <col min="14166" max="14166" width="6.140625" style="1" customWidth="1"/>
    <col min="14167" max="14167" width="17.28515625" style="1" customWidth="1"/>
    <col min="14168" max="14338" width="8.42578125" style="1"/>
    <col min="14339" max="14339" width="10.42578125" style="1" customWidth="1"/>
    <col min="14340" max="14340" width="17.85546875" style="1" customWidth="1"/>
    <col min="14341" max="14341" width="10.5703125" style="1" customWidth="1"/>
    <col min="14342" max="14342" width="9.7109375" style="1" customWidth="1"/>
    <col min="14343" max="14347" width="8.28515625" style="1" customWidth="1"/>
    <col min="14348" max="14348" width="9.7109375" style="1" customWidth="1"/>
    <col min="14349" max="14349" width="8.28515625" style="1" customWidth="1"/>
    <col min="14350" max="14350" width="17.7109375" style="1" customWidth="1"/>
    <col min="14351" max="14351" width="6" style="1" customWidth="1"/>
    <col min="14352" max="14352" width="5.42578125" style="1" customWidth="1"/>
    <col min="14353" max="14353" width="6.5703125" style="1" customWidth="1"/>
    <col min="14354" max="14354" width="5.5703125" style="1" customWidth="1"/>
    <col min="14355" max="14355" width="5.140625" style="1" customWidth="1"/>
    <col min="14356" max="14356" width="7" style="1" customWidth="1"/>
    <col min="14357" max="14357" width="5.140625" style="1" customWidth="1"/>
    <col min="14358" max="14358" width="5.7109375" style="1" customWidth="1"/>
    <col min="14359" max="14360" width="6" style="1" customWidth="1"/>
    <col min="14361" max="14361" width="5" style="1" customWidth="1"/>
    <col min="14362" max="14362" width="6.42578125" style="1" customWidth="1"/>
    <col min="14363" max="14363" width="9.28515625" style="1" customWidth="1"/>
    <col min="14364" max="14365" width="6.85546875" style="1" customWidth="1"/>
    <col min="14366" max="14366" width="17.42578125" style="1" customWidth="1"/>
    <col min="14367" max="14384" width="5.7109375" style="1" customWidth="1"/>
    <col min="14385" max="14385" width="9.28515625" style="1" customWidth="1"/>
    <col min="14386" max="14386" width="6.7109375" style="1" customWidth="1"/>
    <col min="14387" max="14388" width="6.28515625" style="1" customWidth="1"/>
    <col min="14389" max="14389" width="18.140625" style="1" customWidth="1"/>
    <col min="14390" max="14404" width="5.7109375" style="1" customWidth="1"/>
    <col min="14405" max="14405" width="10.140625" style="1" customWidth="1"/>
    <col min="14406" max="14406" width="6.5703125" style="1" customWidth="1"/>
    <col min="14407" max="14419" width="5.7109375" style="1" customWidth="1"/>
    <col min="14420" max="14420" width="10.42578125" style="1" customWidth="1"/>
    <col min="14421" max="14421" width="6.7109375" style="1" customWidth="1"/>
    <col min="14422" max="14422" width="6.140625" style="1" customWidth="1"/>
    <col min="14423" max="14423" width="17.28515625" style="1" customWidth="1"/>
    <col min="14424" max="14594" width="8.42578125" style="1"/>
    <col min="14595" max="14595" width="10.42578125" style="1" customWidth="1"/>
    <col min="14596" max="14596" width="17.85546875" style="1" customWidth="1"/>
    <col min="14597" max="14597" width="10.5703125" style="1" customWidth="1"/>
    <col min="14598" max="14598" width="9.7109375" style="1" customWidth="1"/>
    <col min="14599" max="14603" width="8.28515625" style="1" customWidth="1"/>
    <col min="14604" max="14604" width="9.7109375" style="1" customWidth="1"/>
    <col min="14605" max="14605" width="8.28515625" style="1" customWidth="1"/>
    <col min="14606" max="14606" width="17.7109375" style="1" customWidth="1"/>
    <col min="14607" max="14607" width="6" style="1" customWidth="1"/>
    <col min="14608" max="14608" width="5.42578125" style="1" customWidth="1"/>
    <col min="14609" max="14609" width="6.5703125" style="1" customWidth="1"/>
    <col min="14610" max="14610" width="5.5703125" style="1" customWidth="1"/>
    <col min="14611" max="14611" width="5.140625" style="1" customWidth="1"/>
    <col min="14612" max="14612" width="7" style="1" customWidth="1"/>
    <col min="14613" max="14613" width="5.140625" style="1" customWidth="1"/>
    <col min="14614" max="14614" width="5.7109375" style="1" customWidth="1"/>
    <col min="14615" max="14616" width="6" style="1" customWidth="1"/>
    <col min="14617" max="14617" width="5" style="1" customWidth="1"/>
    <col min="14618" max="14618" width="6.42578125" style="1" customWidth="1"/>
    <col min="14619" max="14619" width="9.28515625" style="1" customWidth="1"/>
    <col min="14620" max="14621" width="6.85546875" style="1" customWidth="1"/>
    <col min="14622" max="14622" width="17.42578125" style="1" customWidth="1"/>
    <col min="14623" max="14640" width="5.7109375" style="1" customWidth="1"/>
    <col min="14641" max="14641" width="9.28515625" style="1" customWidth="1"/>
    <col min="14642" max="14642" width="6.7109375" style="1" customWidth="1"/>
    <col min="14643" max="14644" width="6.28515625" style="1" customWidth="1"/>
    <col min="14645" max="14645" width="18.140625" style="1" customWidth="1"/>
    <col min="14646" max="14660" width="5.7109375" style="1" customWidth="1"/>
    <col min="14661" max="14661" width="10.140625" style="1" customWidth="1"/>
    <col min="14662" max="14662" width="6.5703125" style="1" customWidth="1"/>
    <col min="14663" max="14675" width="5.7109375" style="1" customWidth="1"/>
    <col min="14676" max="14676" width="10.42578125" style="1" customWidth="1"/>
    <col min="14677" max="14677" width="6.7109375" style="1" customWidth="1"/>
    <col min="14678" max="14678" width="6.140625" style="1" customWidth="1"/>
    <col min="14679" max="14679" width="17.28515625" style="1" customWidth="1"/>
    <col min="14680" max="14850" width="8.42578125" style="1"/>
    <col min="14851" max="14851" width="10.42578125" style="1" customWidth="1"/>
    <col min="14852" max="14852" width="17.85546875" style="1" customWidth="1"/>
    <col min="14853" max="14853" width="10.5703125" style="1" customWidth="1"/>
    <col min="14854" max="14854" width="9.7109375" style="1" customWidth="1"/>
    <col min="14855" max="14859" width="8.28515625" style="1" customWidth="1"/>
    <col min="14860" max="14860" width="9.7109375" style="1" customWidth="1"/>
    <col min="14861" max="14861" width="8.28515625" style="1" customWidth="1"/>
    <col min="14862" max="14862" width="17.7109375" style="1" customWidth="1"/>
    <col min="14863" max="14863" width="6" style="1" customWidth="1"/>
    <col min="14864" max="14864" width="5.42578125" style="1" customWidth="1"/>
    <col min="14865" max="14865" width="6.5703125" style="1" customWidth="1"/>
    <col min="14866" max="14866" width="5.5703125" style="1" customWidth="1"/>
    <col min="14867" max="14867" width="5.140625" style="1" customWidth="1"/>
    <col min="14868" max="14868" width="7" style="1" customWidth="1"/>
    <col min="14869" max="14869" width="5.140625" style="1" customWidth="1"/>
    <col min="14870" max="14870" width="5.7109375" style="1" customWidth="1"/>
    <col min="14871" max="14872" width="6" style="1" customWidth="1"/>
    <col min="14873" max="14873" width="5" style="1" customWidth="1"/>
    <col min="14874" max="14874" width="6.42578125" style="1" customWidth="1"/>
    <col min="14875" max="14875" width="9.28515625" style="1" customWidth="1"/>
    <col min="14876" max="14877" width="6.85546875" style="1" customWidth="1"/>
    <col min="14878" max="14878" width="17.42578125" style="1" customWidth="1"/>
    <col min="14879" max="14896" width="5.7109375" style="1" customWidth="1"/>
    <col min="14897" max="14897" width="9.28515625" style="1" customWidth="1"/>
    <col min="14898" max="14898" width="6.7109375" style="1" customWidth="1"/>
    <col min="14899" max="14900" width="6.28515625" style="1" customWidth="1"/>
    <col min="14901" max="14901" width="18.140625" style="1" customWidth="1"/>
    <col min="14902" max="14916" width="5.7109375" style="1" customWidth="1"/>
    <col min="14917" max="14917" width="10.140625" style="1" customWidth="1"/>
    <col min="14918" max="14918" width="6.5703125" style="1" customWidth="1"/>
    <col min="14919" max="14931" width="5.7109375" style="1" customWidth="1"/>
    <col min="14932" max="14932" width="10.42578125" style="1" customWidth="1"/>
    <col min="14933" max="14933" width="6.7109375" style="1" customWidth="1"/>
    <col min="14934" max="14934" width="6.140625" style="1" customWidth="1"/>
    <col min="14935" max="14935" width="17.28515625" style="1" customWidth="1"/>
    <col min="14936" max="15106" width="8.42578125" style="1"/>
    <col min="15107" max="15107" width="10.42578125" style="1" customWidth="1"/>
    <col min="15108" max="15108" width="17.85546875" style="1" customWidth="1"/>
    <col min="15109" max="15109" width="10.5703125" style="1" customWidth="1"/>
    <col min="15110" max="15110" width="9.7109375" style="1" customWidth="1"/>
    <col min="15111" max="15115" width="8.28515625" style="1" customWidth="1"/>
    <col min="15116" max="15116" width="9.7109375" style="1" customWidth="1"/>
    <col min="15117" max="15117" width="8.28515625" style="1" customWidth="1"/>
    <col min="15118" max="15118" width="17.7109375" style="1" customWidth="1"/>
    <col min="15119" max="15119" width="6" style="1" customWidth="1"/>
    <col min="15120" max="15120" width="5.42578125" style="1" customWidth="1"/>
    <col min="15121" max="15121" width="6.5703125" style="1" customWidth="1"/>
    <col min="15122" max="15122" width="5.5703125" style="1" customWidth="1"/>
    <col min="15123" max="15123" width="5.140625" style="1" customWidth="1"/>
    <col min="15124" max="15124" width="7" style="1" customWidth="1"/>
    <col min="15125" max="15125" width="5.140625" style="1" customWidth="1"/>
    <col min="15126" max="15126" width="5.7109375" style="1" customWidth="1"/>
    <col min="15127" max="15128" width="6" style="1" customWidth="1"/>
    <col min="15129" max="15129" width="5" style="1" customWidth="1"/>
    <col min="15130" max="15130" width="6.42578125" style="1" customWidth="1"/>
    <col min="15131" max="15131" width="9.28515625" style="1" customWidth="1"/>
    <col min="15132" max="15133" width="6.85546875" style="1" customWidth="1"/>
    <col min="15134" max="15134" width="17.42578125" style="1" customWidth="1"/>
    <col min="15135" max="15152" width="5.7109375" style="1" customWidth="1"/>
    <col min="15153" max="15153" width="9.28515625" style="1" customWidth="1"/>
    <col min="15154" max="15154" width="6.7109375" style="1" customWidth="1"/>
    <col min="15155" max="15156" width="6.28515625" style="1" customWidth="1"/>
    <col min="15157" max="15157" width="18.140625" style="1" customWidth="1"/>
    <col min="15158" max="15172" width="5.7109375" style="1" customWidth="1"/>
    <col min="15173" max="15173" width="10.140625" style="1" customWidth="1"/>
    <col min="15174" max="15174" width="6.5703125" style="1" customWidth="1"/>
    <col min="15175" max="15187" width="5.7109375" style="1" customWidth="1"/>
    <col min="15188" max="15188" width="10.42578125" style="1" customWidth="1"/>
    <col min="15189" max="15189" width="6.7109375" style="1" customWidth="1"/>
    <col min="15190" max="15190" width="6.140625" style="1" customWidth="1"/>
    <col min="15191" max="15191" width="17.28515625" style="1" customWidth="1"/>
    <col min="15192" max="15362" width="8.42578125" style="1"/>
    <col min="15363" max="15363" width="10.42578125" style="1" customWidth="1"/>
    <col min="15364" max="15364" width="17.85546875" style="1" customWidth="1"/>
    <col min="15365" max="15365" width="10.5703125" style="1" customWidth="1"/>
    <col min="15366" max="15366" width="9.7109375" style="1" customWidth="1"/>
    <col min="15367" max="15371" width="8.28515625" style="1" customWidth="1"/>
    <col min="15372" max="15372" width="9.7109375" style="1" customWidth="1"/>
    <col min="15373" max="15373" width="8.28515625" style="1" customWidth="1"/>
    <col min="15374" max="15374" width="17.7109375" style="1" customWidth="1"/>
    <col min="15375" max="15375" width="6" style="1" customWidth="1"/>
    <col min="15376" max="15376" width="5.42578125" style="1" customWidth="1"/>
    <col min="15377" max="15377" width="6.5703125" style="1" customWidth="1"/>
    <col min="15378" max="15378" width="5.5703125" style="1" customWidth="1"/>
    <col min="15379" max="15379" width="5.140625" style="1" customWidth="1"/>
    <col min="15380" max="15380" width="7" style="1" customWidth="1"/>
    <col min="15381" max="15381" width="5.140625" style="1" customWidth="1"/>
    <col min="15382" max="15382" width="5.7109375" style="1" customWidth="1"/>
    <col min="15383" max="15384" width="6" style="1" customWidth="1"/>
    <col min="15385" max="15385" width="5" style="1" customWidth="1"/>
    <col min="15386" max="15386" width="6.42578125" style="1" customWidth="1"/>
    <col min="15387" max="15387" width="9.28515625" style="1" customWidth="1"/>
    <col min="15388" max="15389" width="6.85546875" style="1" customWidth="1"/>
    <col min="15390" max="15390" width="17.42578125" style="1" customWidth="1"/>
    <col min="15391" max="15408" width="5.7109375" style="1" customWidth="1"/>
    <col min="15409" max="15409" width="9.28515625" style="1" customWidth="1"/>
    <col min="15410" max="15410" width="6.7109375" style="1" customWidth="1"/>
    <col min="15411" max="15412" width="6.28515625" style="1" customWidth="1"/>
    <col min="15413" max="15413" width="18.140625" style="1" customWidth="1"/>
    <col min="15414" max="15428" width="5.7109375" style="1" customWidth="1"/>
    <col min="15429" max="15429" width="10.140625" style="1" customWidth="1"/>
    <col min="15430" max="15430" width="6.5703125" style="1" customWidth="1"/>
    <col min="15431" max="15443" width="5.7109375" style="1" customWidth="1"/>
    <col min="15444" max="15444" width="10.42578125" style="1" customWidth="1"/>
    <col min="15445" max="15445" width="6.7109375" style="1" customWidth="1"/>
    <col min="15446" max="15446" width="6.140625" style="1" customWidth="1"/>
    <col min="15447" max="15447" width="17.28515625" style="1" customWidth="1"/>
    <col min="15448" max="15618" width="8.42578125" style="1"/>
    <col min="15619" max="15619" width="10.42578125" style="1" customWidth="1"/>
    <col min="15620" max="15620" width="17.85546875" style="1" customWidth="1"/>
    <col min="15621" max="15621" width="10.5703125" style="1" customWidth="1"/>
    <col min="15622" max="15622" width="9.7109375" style="1" customWidth="1"/>
    <col min="15623" max="15627" width="8.28515625" style="1" customWidth="1"/>
    <col min="15628" max="15628" width="9.7109375" style="1" customWidth="1"/>
    <col min="15629" max="15629" width="8.28515625" style="1" customWidth="1"/>
    <col min="15630" max="15630" width="17.7109375" style="1" customWidth="1"/>
    <col min="15631" max="15631" width="6" style="1" customWidth="1"/>
    <col min="15632" max="15632" width="5.42578125" style="1" customWidth="1"/>
    <col min="15633" max="15633" width="6.5703125" style="1" customWidth="1"/>
    <col min="15634" max="15634" width="5.5703125" style="1" customWidth="1"/>
    <col min="15635" max="15635" width="5.140625" style="1" customWidth="1"/>
    <col min="15636" max="15636" width="7" style="1" customWidth="1"/>
    <col min="15637" max="15637" width="5.140625" style="1" customWidth="1"/>
    <col min="15638" max="15638" width="5.7109375" style="1" customWidth="1"/>
    <col min="15639" max="15640" width="6" style="1" customWidth="1"/>
    <col min="15641" max="15641" width="5" style="1" customWidth="1"/>
    <col min="15642" max="15642" width="6.42578125" style="1" customWidth="1"/>
    <col min="15643" max="15643" width="9.28515625" style="1" customWidth="1"/>
    <col min="15644" max="15645" width="6.85546875" style="1" customWidth="1"/>
    <col min="15646" max="15646" width="17.42578125" style="1" customWidth="1"/>
    <col min="15647" max="15664" width="5.7109375" style="1" customWidth="1"/>
    <col min="15665" max="15665" width="9.28515625" style="1" customWidth="1"/>
    <col min="15666" max="15666" width="6.7109375" style="1" customWidth="1"/>
    <col min="15667" max="15668" width="6.28515625" style="1" customWidth="1"/>
    <col min="15669" max="15669" width="18.140625" style="1" customWidth="1"/>
    <col min="15670" max="15684" width="5.7109375" style="1" customWidth="1"/>
    <col min="15685" max="15685" width="10.140625" style="1" customWidth="1"/>
    <col min="15686" max="15686" width="6.5703125" style="1" customWidth="1"/>
    <col min="15687" max="15699" width="5.7109375" style="1" customWidth="1"/>
    <col min="15700" max="15700" width="10.42578125" style="1" customWidth="1"/>
    <col min="15701" max="15701" width="6.7109375" style="1" customWidth="1"/>
    <col min="15702" max="15702" width="6.140625" style="1" customWidth="1"/>
    <col min="15703" max="15703" width="17.28515625" style="1" customWidth="1"/>
    <col min="15704" max="15874" width="8.42578125" style="1"/>
    <col min="15875" max="15875" width="10.42578125" style="1" customWidth="1"/>
    <col min="15876" max="15876" width="17.85546875" style="1" customWidth="1"/>
    <col min="15877" max="15877" width="10.5703125" style="1" customWidth="1"/>
    <col min="15878" max="15878" width="9.7109375" style="1" customWidth="1"/>
    <col min="15879" max="15883" width="8.28515625" style="1" customWidth="1"/>
    <col min="15884" max="15884" width="9.7109375" style="1" customWidth="1"/>
    <col min="15885" max="15885" width="8.28515625" style="1" customWidth="1"/>
    <col min="15886" max="15886" width="17.7109375" style="1" customWidth="1"/>
    <col min="15887" max="15887" width="6" style="1" customWidth="1"/>
    <col min="15888" max="15888" width="5.42578125" style="1" customWidth="1"/>
    <col min="15889" max="15889" width="6.5703125" style="1" customWidth="1"/>
    <col min="15890" max="15890" width="5.5703125" style="1" customWidth="1"/>
    <col min="15891" max="15891" width="5.140625" style="1" customWidth="1"/>
    <col min="15892" max="15892" width="7" style="1" customWidth="1"/>
    <col min="15893" max="15893" width="5.140625" style="1" customWidth="1"/>
    <col min="15894" max="15894" width="5.7109375" style="1" customWidth="1"/>
    <col min="15895" max="15896" width="6" style="1" customWidth="1"/>
    <col min="15897" max="15897" width="5" style="1" customWidth="1"/>
    <col min="15898" max="15898" width="6.42578125" style="1" customWidth="1"/>
    <col min="15899" max="15899" width="9.28515625" style="1" customWidth="1"/>
    <col min="15900" max="15901" width="6.85546875" style="1" customWidth="1"/>
    <col min="15902" max="15902" width="17.42578125" style="1" customWidth="1"/>
    <col min="15903" max="15920" width="5.7109375" style="1" customWidth="1"/>
    <col min="15921" max="15921" width="9.28515625" style="1" customWidth="1"/>
    <col min="15922" max="15922" width="6.7109375" style="1" customWidth="1"/>
    <col min="15923" max="15924" width="6.28515625" style="1" customWidth="1"/>
    <col min="15925" max="15925" width="18.140625" style="1" customWidth="1"/>
    <col min="15926" max="15940" width="5.7109375" style="1" customWidth="1"/>
    <col min="15941" max="15941" width="10.140625" style="1" customWidth="1"/>
    <col min="15942" max="15942" width="6.5703125" style="1" customWidth="1"/>
    <col min="15943" max="15955" width="5.7109375" style="1" customWidth="1"/>
    <col min="15956" max="15956" width="10.42578125" style="1" customWidth="1"/>
    <col min="15957" max="15957" width="6.7109375" style="1" customWidth="1"/>
    <col min="15958" max="15958" width="6.140625" style="1" customWidth="1"/>
    <col min="15959" max="15959" width="17.28515625" style="1" customWidth="1"/>
    <col min="15960" max="16130" width="8.42578125" style="1"/>
    <col min="16131" max="16131" width="10.42578125" style="1" customWidth="1"/>
    <col min="16132" max="16132" width="17.85546875" style="1" customWidth="1"/>
    <col min="16133" max="16133" width="10.5703125" style="1" customWidth="1"/>
    <col min="16134" max="16134" width="9.7109375" style="1" customWidth="1"/>
    <col min="16135" max="16139" width="8.28515625" style="1" customWidth="1"/>
    <col min="16140" max="16140" width="9.7109375" style="1" customWidth="1"/>
    <col min="16141" max="16141" width="8.28515625" style="1" customWidth="1"/>
    <col min="16142" max="16142" width="17.7109375" style="1" customWidth="1"/>
    <col min="16143" max="16143" width="6" style="1" customWidth="1"/>
    <col min="16144" max="16144" width="5.42578125" style="1" customWidth="1"/>
    <col min="16145" max="16145" width="6.5703125" style="1" customWidth="1"/>
    <col min="16146" max="16146" width="5.5703125" style="1" customWidth="1"/>
    <col min="16147" max="16147" width="5.140625" style="1" customWidth="1"/>
    <col min="16148" max="16148" width="7" style="1" customWidth="1"/>
    <col min="16149" max="16149" width="5.140625" style="1" customWidth="1"/>
    <col min="16150" max="16150" width="5.7109375" style="1" customWidth="1"/>
    <col min="16151" max="16152" width="6" style="1" customWidth="1"/>
    <col min="16153" max="16153" width="5" style="1" customWidth="1"/>
    <col min="16154" max="16154" width="6.42578125" style="1" customWidth="1"/>
    <col min="16155" max="16155" width="9.28515625" style="1" customWidth="1"/>
    <col min="16156" max="16157" width="6.85546875" style="1" customWidth="1"/>
    <col min="16158" max="16158" width="17.42578125" style="1" customWidth="1"/>
    <col min="16159" max="16176" width="5.7109375" style="1" customWidth="1"/>
    <col min="16177" max="16177" width="9.28515625" style="1" customWidth="1"/>
    <col min="16178" max="16178" width="6.7109375" style="1" customWidth="1"/>
    <col min="16179" max="16180" width="6.28515625" style="1" customWidth="1"/>
    <col min="16181" max="16181" width="18.140625" style="1" customWidth="1"/>
    <col min="16182" max="16196" width="5.7109375" style="1" customWidth="1"/>
    <col min="16197" max="16197" width="10.140625" style="1" customWidth="1"/>
    <col min="16198" max="16198" width="6.5703125" style="1" customWidth="1"/>
    <col min="16199" max="16211" width="5.7109375" style="1" customWidth="1"/>
    <col min="16212" max="16212" width="10.42578125" style="1" customWidth="1"/>
    <col min="16213" max="16213" width="6.7109375" style="1" customWidth="1"/>
    <col min="16214" max="16214" width="6.140625" style="1" customWidth="1"/>
    <col min="16215" max="16215" width="17.28515625" style="1" customWidth="1"/>
    <col min="16216" max="16384" width="8.42578125" style="1"/>
  </cols>
  <sheetData>
    <row r="1" spans="1:87">
      <c r="B1" s="370" t="s">
        <v>137</v>
      </c>
      <c r="C1" s="370"/>
      <c r="D1" s="370"/>
      <c r="E1" s="370"/>
      <c r="F1" s="370"/>
      <c r="G1" s="370"/>
      <c r="H1" s="370"/>
      <c r="I1" s="370"/>
      <c r="J1" s="370"/>
      <c r="K1" s="370"/>
      <c r="L1" s="364" t="s">
        <v>376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 t="s">
        <v>377</v>
      </c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364"/>
      <c r="AO1" s="364"/>
      <c r="AP1" s="364"/>
      <c r="AQ1" s="364"/>
      <c r="AR1" s="94"/>
      <c r="AS1" s="94"/>
      <c r="AT1" s="94"/>
      <c r="AU1" s="94"/>
      <c r="AV1" s="94"/>
      <c r="AW1" s="94"/>
      <c r="AX1" s="63"/>
      <c r="AY1" s="236" t="s">
        <v>378</v>
      </c>
      <c r="AZ1" s="105" t="s">
        <v>71</v>
      </c>
      <c r="BA1" s="105"/>
      <c r="BB1" s="105"/>
      <c r="BC1" s="105"/>
      <c r="BD1" s="105"/>
      <c r="BE1" s="62"/>
      <c r="BF1" s="105" t="s">
        <v>70</v>
      </c>
      <c r="BG1" s="105"/>
      <c r="BH1" s="105"/>
      <c r="BI1" s="105"/>
      <c r="BJ1" s="105"/>
      <c r="BK1" s="105"/>
      <c r="BL1" s="105"/>
      <c r="BM1" s="105"/>
      <c r="BN1" s="62"/>
      <c r="BO1" s="63"/>
      <c r="BP1" s="63"/>
      <c r="BQ1" s="62"/>
      <c r="BR1" s="63"/>
      <c r="BS1" s="375" t="s">
        <v>379</v>
      </c>
      <c r="BT1" s="370"/>
      <c r="BU1" s="370"/>
      <c r="BV1" s="370"/>
      <c r="BW1" s="370"/>
      <c r="BX1" s="370"/>
      <c r="BY1" s="370"/>
      <c r="BZ1" s="370"/>
      <c r="CA1" s="370"/>
      <c r="CB1" s="370"/>
      <c r="CC1" s="370"/>
      <c r="CD1" s="370"/>
      <c r="CE1" s="370"/>
      <c r="CF1" s="370"/>
      <c r="CG1" s="370"/>
      <c r="CH1" s="370"/>
      <c r="CI1" s="370"/>
    </row>
    <row r="2" spans="1:87">
      <c r="A2" s="3" t="s">
        <v>68</v>
      </c>
      <c r="B2" s="62" t="s">
        <v>34</v>
      </c>
      <c r="C2" s="108" t="s">
        <v>67</v>
      </c>
      <c r="D2" s="108" t="s">
        <v>66</v>
      </c>
      <c r="E2" s="108" t="s">
        <v>65</v>
      </c>
      <c r="F2" s="108" t="s">
        <v>64</v>
      </c>
      <c r="G2" s="108" t="s">
        <v>63</v>
      </c>
      <c r="H2" s="108" t="s">
        <v>62</v>
      </c>
      <c r="I2" s="108" t="s">
        <v>61</v>
      </c>
      <c r="J2" s="108" t="s">
        <v>60</v>
      </c>
      <c r="K2" s="108" t="s">
        <v>59</v>
      </c>
      <c r="L2" s="62" t="s">
        <v>34</v>
      </c>
      <c r="M2" s="93" t="s">
        <v>58</v>
      </c>
      <c r="N2" s="105"/>
      <c r="O2" s="134"/>
      <c r="P2" s="111" t="s">
        <v>57</v>
      </c>
      <c r="Q2" s="105"/>
      <c r="R2" s="134"/>
      <c r="S2" s="111" t="s">
        <v>138</v>
      </c>
      <c r="T2" s="105"/>
      <c r="U2" s="134"/>
      <c r="V2" s="111" t="s">
        <v>139</v>
      </c>
      <c r="W2" s="105"/>
      <c r="X2" s="134"/>
      <c r="Y2" s="45" t="s">
        <v>35</v>
      </c>
      <c r="Z2" s="45" t="s">
        <v>36</v>
      </c>
      <c r="AA2" s="87"/>
      <c r="AB2" s="32" t="s">
        <v>34</v>
      </c>
      <c r="AC2" s="111" t="s">
        <v>140</v>
      </c>
      <c r="AD2" s="105"/>
      <c r="AE2" s="134"/>
      <c r="AF2" s="111" t="s">
        <v>141</v>
      </c>
      <c r="AG2" s="105"/>
      <c r="AH2" s="134"/>
      <c r="AI2" s="111" t="s">
        <v>142</v>
      </c>
      <c r="AJ2" s="105"/>
      <c r="AK2" s="134"/>
      <c r="AL2" s="111" t="s">
        <v>143</v>
      </c>
      <c r="AM2" s="105"/>
      <c r="AN2" s="134"/>
      <c r="AO2" s="111" t="s">
        <v>106</v>
      </c>
      <c r="AP2" s="105"/>
      <c r="AQ2" s="134"/>
      <c r="AR2" s="111" t="s">
        <v>107</v>
      </c>
      <c r="AS2" s="105"/>
      <c r="AT2" s="134"/>
      <c r="AU2" s="62" t="s">
        <v>35</v>
      </c>
      <c r="AV2" s="45" t="s">
        <v>36</v>
      </c>
      <c r="AW2" s="45" t="s">
        <v>144</v>
      </c>
      <c r="AX2" s="45"/>
      <c r="AY2" s="32" t="s">
        <v>34</v>
      </c>
      <c r="AZ2" s="135" t="s">
        <v>46</v>
      </c>
      <c r="BA2" s="85"/>
      <c r="BB2" s="84"/>
      <c r="BC2" s="135" t="s">
        <v>108</v>
      </c>
      <c r="BD2" s="85"/>
      <c r="BE2" s="84"/>
      <c r="BF2" s="135" t="s">
        <v>44</v>
      </c>
      <c r="BG2" s="85"/>
      <c r="BH2" s="84"/>
      <c r="BI2" s="135" t="s">
        <v>145</v>
      </c>
      <c r="BJ2" s="85"/>
      <c r="BK2" s="84"/>
      <c r="BL2" s="135" t="s">
        <v>42</v>
      </c>
      <c r="BM2" s="85"/>
      <c r="BN2" s="84"/>
      <c r="BO2" s="45" t="s">
        <v>35</v>
      </c>
      <c r="BP2" s="45" t="s">
        <v>36</v>
      </c>
      <c r="BQ2" s="45" t="s">
        <v>41</v>
      </c>
      <c r="BR2" s="87"/>
      <c r="BS2" s="86" t="s">
        <v>40</v>
      </c>
      <c r="BT2" s="85"/>
      <c r="BU2" s="84"/>
      <c r="BV2" s="86" t="s">
        <v>39</v>
      </c>
      <c r="BW2" s="85"/>
      <c r="BX2" s="84"/>
      <c r="BY2" s="86" t="s">
        <v>146</v>
      </c>
      <c r="BZ2" s="85"/>
      <c r="CA2" s="84"/>
      <c r="CB2" s="86" t="s">
        <v>147</v>
      </c>
      <c r="CC2" s="85"/>
      <c r="CD2" s="84"/>
      <c r="CE2" s="45" t="s">
        <v>35</v>
      </c>
      <c r="CF2" s="45" t="s">
        <v>36</v>
      </c>
      <c r="CG2" s="45" t="s">
        <v>35</v>
      </c>
      <c r="CH2" s="45"/>
      <c r="CI2" s="32" t="s">
        <v>34</v>
      </c>
    </row>
    <row r="3" spans="1:87">
      <c r="A3" s="3"/>
      <c r="B3" s="32" t="s">
        <v>148</v>
      </c>
      <c r="C3" s="48">
        <v>34853</v>
      </c>
      <c r="D3" s="47" t="s">
        <v>19</v>
      </c>
      <c r="E3" s="32">
        <v>165</v>
      </c>
      <c r="F3" s="3">
        <v>45</v>
      </c>
      <c r="G3" s="32">
        <v>68</v>
      </c>
      <c r="H3" s="136">
        <v>1.1459999999999999</v>
      </c>
      <c r="I3" s="137">
        <f>F3/(E3/100)^2</f>
        <v>16.528925619834713</v>
      </c>
      <c r="J3" s="43" t="s">
        <v>82</v>
      </c>
      <c r="K3" s="32">
        <f>((E3-F3)*E3)/(H3*2*G3)</f>
        <v>127.04034493378504</v>
      </c>
      <c r="L3" s="32" t="s">
        <v>148</v>
      </c>
      <c r="M3" s="32">
        <v>188</v>
      </c>
      <c r="N3" s="40">
        <v>18</v>
      </c>
      <c r="O3" s="30">
        <f>IF(M3=0,"",IF(M3&lt;170,2,IF(AND(M3&gt;=170,M3&lt;175),3,IF(AND(M3&gt;=175,M3&lt;180),4,IF(AND(M3&gt;=180),5)))))</f>
        <v>5</v>
      </c>
      <c r="P3" s="32">
        <v>4.5</v>
      </c>
      <c r="Q3" s="40">
        <v>20</v>
      </c>
      <c r="R3" s="30">
        <f>IF(P3=0,"",IF(P3&gt;5.8,2,IF(AND(P3&lt;=5.8,P3&gt;5.5),3,IF(AND(P3&lt;=5.5,P3&gt;5.2),4,IF(AND(P3&lt;=5.2),5)))))</f>
        <v>5</v>
      </c>
      <c r="S3" s="32">
        <v>9.5</v>
      </c>
      <c r="T3" s="40">
        <v>20</v>
      </c>
      <c r="U3" s="30">
        <f>IF(S3=0,"",IF(S3&gt;11,2,IF(AND(S3&lt;=11,S3&gt;10.7),3,IF(AND(S3&lt;=10.7,S3&gt;10.4),4,IF(AND(S3&lt;=10.4),5)))))</f>
        <v>5</v>
      </c>
      <c r="V3" s="32">
        <v>1745</v>
      </c>
      <c r="W3" s="40">
        <v>20</v>
      </c>
      <c r="X3" s="30">
        <f>IF(V3=0,"",IF(V3&lt;1000,2,IF(AND(V3&gt;=1000,V3&lt;1200),3,IF(AND(V3&gt;=1200,V3&lt;1310),4,IF(AND(V3&gt;=1310),5)))))</f>
        <v>5</v>
      </c>
      <c r="Y3" s="40">
        <f>SUM(N3,Q3,T3,W3)</f>
        <v>78</v>
      </c>
      <c r="Z3" s="30">
        <f>IF(Y3=0,"",IF(Y3&lt;4,2,IF(AND(Y3&gt;=4,Y3&lt;16),3,IF(AND(Y3&gt;=16,Y3&lt;30),4,IF(AND(Y3&gt;=30),5)))))</f>
        <v>5</v>
      </c>
      <c r="AA3" s="223">
        <v>5</v>
      </c>
      <c r="AB3" s="32" t="s">
        <v>148</v>
      </c>
      <c r="AC3" s="45">
        <v>47</v>
      </c>
      <c r="AD3" s="66">
        <v>14</v>
      </c>
      <c r="AE3" s="30">
        <f>IF(AC3=0,"",IF(AC3&lt;35,2,IF(AND(AC3&gt;=35,AC3&lt;40),3,IF(AND(AC3&gt;=40,AC3&lt;45),4,IF(AND(AC3&gt;=45),5)))))</f>
        <v>5</v>
      </c>
      <c r="AF3" s="45">
        <v>7</v>
      </c>
      <c r="AG3" s="66">
        <v>8</v>
      </c>
      <c r="AH3" s="30">
        <f>IF(AF3=0,"",IF(AF3&lt;5,2,IF(AND(AF3&gt;=5,AF3&lt;6),3,IF(AND(AF3&gt;=6,AF3&lt;8),4,IF(AND(AF3&gt;=8),5)))))</f>
        <v>4</v>
      </c>
      <c r="AI3" s="45">
        <v>136</v>
      </c>
      <c r="AJ3" s="66">
        <v>20</v>
      </c>
      <c r="AK3" s="30">
        <f>IF(AI3=0,"",IF(AI3&lt;85,2,IF(AND(AI3&gt;=85,AI3&lt;95),3,IF(AND(AI3&gt;=95,AI3&lt;105),4,IF(AND(AI3&gt;=105),5)))))</f>
        <v>5</v>
      </c>
      <c r="AL3" s="45">
        <v>14</v>
      </c>
      <c r="AM3" s="66">
        <v>20</v>
      </c>
      <c r="AN3" s="30">
        <f>IF(AL3=0,"",IF(AL3&lt;5,2,IF(AND(AL3&gt;=5,AL3&lt;6),3,IF(AND(AL3&gt;=6,AL3&lt;8),4,IF(AND(AL3&gt;=8),5)))))</f>
        <v>5</v>
      </c>
      <c r="AO3" s="45">
        <v>13</v>
      </c>
      <c r="AP3" s="66">
        <v>13</v>
      </c>
      <c r="AQ3" s="30">
        <f>IF(AO3=0,"",IF(AO3&lt;1,2,IF(AND(AO3&gt;=1,AO3&lt;5),3,IF(AND(AO3&gt;=5,AO3&lt;10),4,IF(AND(AO3&gt;=10),5)))))</f>
        <v>5</v>
      </c>
      <c r="AR3" s="45">
        <v>10</v>
      </c>
      <c r="AS3" s="66">
        <v>10</v>
      </c>
      <c r="AT3" s="30">
        <f>IF(AR3=0,"",IF(AR3&lt;1,2,IF(AND(AR3&gt;=1,AR3&lt;5),3,IF(AND(AR3&gt;=5,AR3&lt;10),4,IF(AND(AR3&gt;=10),5)))))</f>
        <v>5</v>
      </c>
      <c r="AU3" s="40">
        <f>SUM(AD3,AG3,AJ3,AM3,AP3,AS3)</f>
        <v>85</v>
      </c>
      <c r="AV3" s="30">
        <f>IF(AU3=0,"",IF(AU3&lt;6,2,IF(AND(AU3&gt;=6,AU3&lt;20),3,IF(AND(AU3&gt;=20,AU3&lt;46),4,IF(AND(AU3&gt;=46),5)))))</f>
        <v>5</v>
      </c>
      <c r="AW3" s="40">
        <f>SUM(Y3,AU3)</f>
        <v>163</v>
      </c>
      <c r="AX3" s="41"/>
      <c r="AY3" s="32" t="s">
        <v>148</v>
      </c>
      <c r="AZ3" s="32">
        <v>6.1400000000000006</v>
      </c>
      <c r="BA3" s="349">
        <v>15</v>
      </c>
      <c r="BB3" s="30">
        <v>5</v>
      </c>
      <c r="BC3" s="32">
        <v>13.06</v>
      </c>
      <c r="BD3" s="349">
        <v>15</v>
      </c>
      <c r="BE3" s="30">
        <v>5</v>
      </c>
      <c r="BF3" s="32">
        <v>20</v>
      </c>
      <c r="BG3" s="349">
        <v>20</v>
      </c>
      <c r="BH3" s="30">
        <f>IF(BF3=0,"",IF(BF3&lt;6,2,IF(AND(BF3&gt;=6,BF3&lt;8),3,IF(AND(BF3&gt;=8,BF3&lt;10),4,IF(AND(BF3&gt;=10),5)))))</f>
        <v>5</v>
      </c>
      <c r="BI3" s="32">
        <v>10.8</v>
      </c>
      <c r="BJ3" s="349">
        <v>20</v>
      </c>
      <c r="BK3" s="30">
        <f>IF(BI3=0,"",IF(BI3&gt;15.2,2,IF(AND(BI3&lt;=15.2,BI3&gt;14),3,IF(AND(BI3&lt;=14,BI3&gt;13),4,IF(AND(BI3&lt;=13),5)))))</f>
        <v>5</v>
      </c>
      <c r="BL3" s="32">
        <v>10</v>
      </c>
      <c r="BM3" s="349">
        <v>20</v>
      </c>
      <c r="BN3" s="30">
        <f>IF(BL3=0,"",IF(BL3&lt;2,2,IF(AND(BL3&gt;=2,BL3&lt;4),3,IF(AND(BL3&gt;=4,BL3&lt;5),4,IF(AND(BL3&gt;=5),5)))))</f>
        <v>5</v>
      </c>
      <c r="BO3" s="40">
        <f>SUM(BA3,BD3,BG3,BJ3,BM3)</f>
        <v>90</v>
      </c>
      <c r="BP3" s="30">
        <f>IF(BO3=0,"",IF(BO3&lt;5,2,IF(AND(BO3&gt;=5,BO3&lt;17),3,IF(AND(BO3&gt;=17,BO3&lt;40),4,IF(AND(BO3&gt;=40),5)))))</f>
        <v>5</v>
      </c>
      <c r="BQ3" s="40">
        <f>SUM(AW3,BO3)</f>
        <v>253</v>
      </c>
      <c r="BR3" s="223">
        <v>5</v>
      </c>
      <c r="BS3" s="32">
        <v>8.5</v>
      </c>
      <c r="BT3" s="349">
        <v>20</v>
      </c>
      <c r="BU3" s="30">
        <f>IF(BS3=0,"",IF(BS3&gt;11,2,IF(AND(BS3&lt;=11,BS3&gt;10.2),3,IF(AND(BS3&lt;=10.2,BS3&gt;9.4),4,IF(AND(BS3&lt;=9.4),5)))))</f>
        <v>5</v>
      </c>
      <c r="BV3" s="32">
        <v>6.11</v>
      </c>
      <c r="BW3" s="349">
        <v>20</v>
      </c>
      <c r="BX3" s="30">
        <f>IF(BV3=0,"",IF(BV3&gt;8,2,IF(AND(BV3&lt;=8,BV3&gt;7.3),3,IF(AND(BV3&lt;=7.3,BV3&gt;7),4,IF(AND(BV3&lt;=7),5)))))</f>
        <v>5</v>
      </c>
      <c r="BY3" s="32">
        <v>42</v>
      </c>
      <c r="BZ3" s="349">
        <v>16</v>
      </c>
      <c r="CA3" s="30">
        <f>IF(BY3=0,"",IF(BY3&lt;23,2,IF(AND(BY3&gt;=23,BY3&lt;31),3,IF(AND(BY3&gt;=31,BY3&lt;39),4,IF(AND(BY3&gt;=39),5)))))</f>
        <v>5</v>
      </c>
      <c r="CB3" s="32">
        <v>23</v>
      </c>
      <c r="CC3" s="349">
        <v>20</v>
      </c>
      <c r="CD3" s="30">
        <f>IF(CB3=0,"",IF(CB3&lt;4,2,IF(AND(CB3&gt;=4,CB3&lt;8),3,IF(AND(CB3&gt;=8,CB3&lt;15),4,IF(AND(CB3&gt;=15),5)))))</f>
        <v>5</v>
      </c>
      <c r="CE3" s="40">
        <f>SUM(BT3,BW3,BZ3,CC3)</f>
        <v>76</v>
      </c>
      <c r="CF3" s="30">
        <f>IF(CE3=0,"",IF(CE3&lt;4,2,IF(AND(CE3&gt;=4,CE3&lt;16),3,IF(AND(CE3&gt;=16,CE3&lt;30),4,IF(AND(CE3&gt;=30),5)))))</f>
        <v>5</v>
      </c>
      <c r="CG3" s="40">
        <f>SUM(BQ3,CE3)</f>
        <v>329</v>
      </c>
      <c r="CH3" s="223">
        <v>5</v>
      </c>
      <c r="CI3" s="32" t="s">
        <v>148</v>
      </c>
    </row>
    <row r="4" spans="1:87">
      <c r="A4" s="3"/>
      <c r="B4" s="32" t="s">
        <v>149</v>
      </c>
      <c r="C4" s="48">
        <v>34786</v>
      </c>
      <c r="D4" s="47" t="s">
        <v>77</v>
      </c>
      <c r="E4" s="32">
        <v>161</v>
      </c>
      <c r="F4" s="3">
        <v>50</v>
      </c>
      <c r="G4" s="32">
        <v>74</v>
      </c>
      <c r="H4" s="136">
        <v>1.1459999999999999</v>
      </c>
      <c r="I4" s="137">
        <f>F4/(E4/100)^2</f>
        <v>19.289379267775161</v>
      </c>
      <c r="J4" s="43" t="s">
        <v>26</v>
      </c>
      <c r="K4" s="32">
        <f>((E4-F4)*E4)/(H4*2*G4)</f>
        <v>105.36649214659687</v>
      </c>
      <c r="L4" s="32" t="s">
        <v>149</v>
      </c>
      <c r="M4" s="32">
        <v>182</v>
      </c>
      <c r="N4" s="40">
        <v>12</v>
      </c>
      <c r="O4" s="30">
        <f>IF(M4=0,"",IF(M4&lt;170,2,IF(AND(M4&gt;=170,M4&lt;175),3,IF(AND(M4&gt;=175,M4&lt;180),4,IF(AND(M4&gt;=180),5)))))</f>
        <v>5</v>
      </c>
      <c r="P4" s="32">
        <v>4.4000000000000004</v>
      </c>
      <c r="Q4" s="40">
        <v>20</v>
      </c>
      <c r="R4" s="30">
        <f>IF(P4=0,"",IF(P4&gt;5.8,2,IF(AND(P4&lt;=5.8,P4&gt;5.5),3,IF(AND(P4&lt;=5.5,P4&gt;5.2),4,IF(AND(P4&lt;=5.2),5)))))</f>
        <v>5</v>
      </c>
      <c r="S4" s="32">
        <v>9.6999999999999993</v>
      </c>
      <c r="T4" s="40">
        <v>20</v>
      </c>
      <c r="U4" s="30">
        <f>IF(S4=0,"",IF(S4&gt;11,2,IF(AND(S4&lt;=11,S4&gt;10.7),3,IF(AND(S4&lt;=10.7,S4&gt;10.4),4,IF(AND(S4&lt;=10.4),5)))))</f>
        <v>5</v>
      </c>
      <c r="V4" s="32">
        <v>1665</v>
      </c>
      <c r="W4" s="40">
        <v>20</v>
      </c>
      <c r="X4" s="30">
        <f>IF(V4=0,"",IF(V4&lt;1000,2,IF(AND(V4&gt;=1000,V4&lt;1200),3,IF(AND(V4&gt;=1200,V4&lt;1310),4,IF(AND(V4&gt;=1310),5)))))</f>
        <v>5</v>
      </c>
      <c r="Y4" s="40">
        <f>SUM(N4,Q4,T4,W4)</f>
        <v>72</v>
      </c>
      <c r="Z4" s="30">
        <f>IF(Y4=0,"",IF(Y4&lt;4,2,IF(AND(Y4&gt;=4,Y4&lt;16),3,IF(AND(Y4&gt;=16,Y4&lt;30),4,IF(AND(Y4&gt;=30),5)))))</f>
        <v>5</v>
      </c>
      <c r="AA4" s="223">
        <v>5</v>
      </c>
      <c r="AB4" s="32" t="s">
        <v>149</v>
      </c>
      <c r="AC4" s="32">
        <v>50</v>
      </c>
      <c r="AD4" s="40">
        <v>18</v>
      </c>
      <c r="AE4" s="30">
        <f>IF(AC4=0,"",IF(AC4&lt;35,2,IF(AND(AC4&gt;=35,AC4&lt;40),3,IF(AND(AC4&gt;=40,AC4&lt;45),4,IF(AND(AC4&gt;=45),5)))))</f>
        <v>5</v>
      </c>
      <c r="AF4" s="32">
        <v>7</v>
      </c>
      <c r="AG4" s="40">
        <v>8</v>
      </c>
      <c r="AH4" s="30">
        <f>IF(AF4=0,"",IF(AF4&lt;5,2,IF(AND(AF4&gt;=5,AF4&lt;6),3,IF(AND(AF4&gt;=6,AF4&lt;8),4,IF(AND(AF4&gt;=8),5)))))</f>
        <v>4</v>
      </c>
      <c r="AI4" s="32">
        <v>118</v>
      </c>
      <c r="AJ4" s="40">
        <v>14</v>
      </c>
      <c r="AK4" s="30">
        <f>IF(AI4=0,"",IF(AI4&lt;85,2,IF(AND(AI4&gt;=85,AI4&lt;95),3,IF(AND(AI4&gt;=95,AI4&lt;105),4,IF(AND(AI4&gt;=105),5)))))</f>
        <v>5</v>
      </c>
      <c r="AL4" s="32">
        <v>13</v>
      </c>
      <c r="AM4" s="40">
        <v>19</v>
      </c>
      <c r="AN4" s="30">
        <f>IF(AL4=0,"",IF(AL4&lt;5,2,IF(AND(AL4&gt;=5,AL4&lt;6),3,IF(AND(AL4&gt;=6,AL4&lt;8),4,IF(AND(AL4&gt;=8),5)))))</f>
        <v>5</v>
      </c>
      <c r="AO4" s="32">
        <v>9</v>
      </c>
      <c r="AP4" s="40">
        <v>9</v>
      </c>
      <c r="AQ4" s="30">
        <f>IF(AO4=0,"",IF(AO4&lt;1,2,IF(AND(AO4&gt;=1,AO4&lt;5),3,IF(AND(AO4&gt;=5,AO4&lt;10),4,IF(AND(AO4&gt;=10),5)))))</f>
        <v>4</v>
      </c>
      <c r="AR4" s="32">
        <v>10</v>
      </c>
      <c r="AS4" s="40">
        <v>10</v>
      </c>
      <c r="AT4" s="30">
        <f>IF(AR4=0,"",IF(AR4&lt;1,2,IF(AND(AR4&gt;=1,AR4&lt;5),3,IF(AND(AR4&gt;=5,AR4&lt;10),4,IF(AND(AR4&gt;=10),5)))))</f>
        <v>5</v>
      </c>
      <c r="AU4" s="40">
        <f>SUM(AD4,AG4,AJ4,AM4,AP4,AS4)</f>
        <v>78</v>
      </c>
      <c r="AV4" s="30">
        <f>IF(AU4=0,"",IF(AU4&lt;6,2,IF(AND(AU4&gt;=6,AU4&lt;20),3,IF(AND(AU4&gt;=20,AU4&lt;46),4,IF(AND(AU4&gt;=46),5)))))</f>
        <v>5</v>
      </c>
      <c r="AW4" s="40">
        <f>SUM(Y4,AU4)</f>
        <v>150</v>
      </c>
      <c r="AX4" s="41"/>
      <c r="AY4" s="32" t="s">
        <v>149</v>
      </c>
      <c r="AZ4" s="32">
        <v>8.4600000000000009</v>
      </c>
      <c r="BA4" s="349">
        <v>5</v>
      </c>
      <c r="BB4" s="30">
        <v>4</v>
      </c>
      <c r="BC4" s="32"/>
      <c r="BD4" s="349"/>
      <c r="BE4" s="30"/>
      <c r="BF4" s="32">
        <v>16</v>
      </c>
      <c r="BG4" s="349">
        <v>16</v>
      </c>
      <c r="BH4" s="30">
        <f>IF(BF4=0,"",IF(BF4&lt;6,2,IF(AND(BF4&gt;=6,BF4&lt;8),3,IF(AND(BF4&gt;=8,BF4&lt;10),4,IF(AND(BF4&gt;=10),5)))))</f>
        <v>5</v>
      </c>
      <c r="BI4" s="32">
        <v>13</v>
      </c>
      <c r="BJ4" s="349">
        <v>10</v>
      </c>
      <c r="BK4" s="30">
        <f>IF(BI4=0,"",IF(BI4&gt;15.2,2,IF(AND(BI4&lt;=15.2,BI4&gt;14),3,IF(AND(BI4&lt;=14,BI4&gt;13),4,IF(AND(BI4&lt;=13),5)))))</f>
        <v>5</v>
      </c>
      <c r="BL4" s="32">
        <v>9</v>
      </c>
      <c r="BM4" s="349">
        <v>19</v>
      </c>
      <c r="BN4" s="30">
        <f>IF(BL4=0,"",IF(BL4&lt;2,2,IF(AND(BL4&gt;=2,BL4&lt;4),3,IF(AND(BL4&gt;=4,BL4&lt;5),4,IF(AND(BL4&gt;=5),5)))))</f>
        <v>5</v>
      </c>
      <c r="BO4" s="40">
        <f>SUM(BA4,BD4,BG4,BJ4,BM4)</f>
        <v>50</v>
      </c>
      <c r="BP4" s="30">
        <f>IF(BO4=0,"",IF(BO4&lt;5,2,IF(AND(BO4&gt;=5,BO4&lt;17),3,IF(AND(BO4&gt;=17,BO4&lt;40),4,IF(AND(BO4&gt;=40),5)))))</f>
        <v>5</v>
      </c>
      <c r="BQ4" s="40">
        <f>SUM(AW4,BO4)</f>
        <v>200</v>
      </c>
      <c r="BR4" s="41"/>
      <c r="BS4" s="32">
        <v>8.1999999999999993</v>
      </c>
      <c r="BT4" s="349">
        <v>20</v>
      </c>
      <c r="BU4" s="30">
        <f>IF(BS4=0,"",IF(BS4&gt;11,2,IF(AND(BS4&lt;=11,BS4&gt;10.2),3,IF(AND(BS4&lt;=10.2,BS4&gt;9.4),4,IF(AND(BS4&lt;=9.4),5)))))</f>
        <v>5</v>
      </c>
      <c r="BV4" s="32">
        <v>6.3</v>
      </c>
      <c r="BW4" s="349">
        <v>16</v>
      </c>
      <c r="BX4" s="30">
        <f>IF(BV4=0,"",IF(BV4&gt;8,2,IF(AND(BV4&lt;=8,BV4&gt;7.3),3,IF(AND(BV4&lt;=7.3,BV4&gt;7),4,IF(AND(BV4&lt;=7),5)))))</f>
        <v>5</v>
      </c>
      <c r="BY4" s="32">
        <v>42</v>
      </c>
      <c r="BZ4" s="349">
        <v>16</v>
      </c>
      <c r="CA4" s="30">
        <f>IF(BY4=0,"",IF(BY4&lt;23,2,IF(AND(BY4&gt;=23,BY4&lt;31),3,IF(AND(BY4&gt;=31,BY4&lt;39),4,IF(AND(BY4&gt;=39),5)))))</f>
        <v>5</v>
      </c>
      <c r="CB4" s="32">
        <v>22</v>
      </c>
      <c r="CC4" s="349">
        <v>20</v>
      </c>
      <c r="CD4" s="30">
        <f>IF(CB4=0,"",IF(CB4&lt;4,2,IF(AND(CB4&gt;=4,CB4&lt;8),3,IF(AND(CB4&gt;=8,CB4&lt;15),4,IF(AND(CB4&gt;=15),5)))))</f>
        <v>5</v>
      </c>
      <c r="CE4" s="40">
        <f>SUM(BT4,BW4,BZ4,CC4)</f>
        <v>72</v>
      </c>
      <c r="CF4" s="30">
        <f>IF(CE4=0,"",IF(CE4&lt;4,2,IF(AND(CE4&gt;=4,CE4&lt;16),3,IF(AND(CE4&gt;=16,CE4&lt;30),4,IF(AND(CE4&gt;=30),5)))))</f>
        <v>5</v>
      </c>
      <c r="CG4" s="40">
        <f>SUM(BQ4,CE4)</f>
        <v>272</v>
      </c>
      <c r="CH4" s="223">
        <v>5</v>
      </c>
      <c r="CI4" s="32" t="s">
        <v>149</v>
      </c>
    </row>
    <row r="5" spans="1:87">
      <c r="A5" s="3"/>
      <c r="B5" s="32" t="s">
        <v>150</v>
      </c>
      <c r="C5" s="67">
        <v>34907</v>
      </c>
      <c r="D5" s="47" t="s">
        <v>77</v>
      </c>
      <c r="E5" s="32">
        <v>171</v>
      </c>
      <c r="F5" s="3">
        <v>53</v>
      </c>
      <c r="G5" s="32">
        <v>75</v>
      </c>
      <c r="H5" s="136">
        <v>1.1459999999999999</v>
      </c>
      <c r="I5" s="137">
        <f>F5/(E5/100)^2</f>
        <v>18.125235115078144</v>
      </c>
      <c r="J5" s="43" t="s">
        <v>30</v>
      </c>
      <c r="K5" s="32">
        <f>((E5-F5)*E5)/(H5*2*G5)</f>
        <v>117.38219895287959</v>
      </c>
      <c r="L5" s="32" t="s">
        <v>150</v>
      </c>
      <c r="M5" s="32">
        <v>198</v>
      </c>
      <c r="N5" s="40">
        <v>20</v>
      </c>
      <c r="O5" s="30">
        <f>IF(M5=0,"",IF(M5&lt;170,2,IF(AND(M5&gt;=170,M5&lt;175),3,IF(AND(M5&gt;=175,M5&lt;180),4,IF(AND(M5&gt;=180),5)))))</f>
        <v>5</v>
      </c>
      <c r="P5" s="32">
        <v>4.4000000000000004</v>
      </c>
      <c r="Q5" s="40">
        <v>20</v>
      </c>
      <c r="R5" s="30">
        <f>IF(P5=0,"",IF(P5&gt;5.8,2,IF(AND(P5&lt;=5.8,P5&gt;5.5),3,IF(AND(P5&lt;=5.5,P5&gt;5.2),4,IF(AND(P5&lt;=5.2),5)))))</f>
        <v>5</v>
      </c>
      <c r="S5" s="32">
        <v>10.4</v>
      </c>
      <c r="T5" s="40">
        <v>10</v>
      </c>
      <c r="U5" s="30">
        <f>IF(S5=0,"",IF(S5&gt;11,2,IF(AND(S5&lt;=11,S5&gt;10.7),3,IF(AND(S5&lt;=10.7,S5&gt;10.4),4,IF(AND(S5&lt;=10.4),5)))))</f>
        <v>5</v>
      </c>
      <c r="V5" s="32">
        <v>1515</v>
      </c>
      <c r="W5" s="40">
        <v>20</v>
      </c>
      <c r="X5" s="30">
        <f>IF(V5=0,"",IF(V5&lt;1000,2,IF(AND(V5&gt;=1000,V5&lt;1200),3,IF(AND(V5&gt;=1200,V5&lt;1310),4,IF(AND(V5&gt;=1310),5)))))</f>
        <v>5</v>
      </c>
      <c r="Y5" s="40">
        <f>SUM(N5,Q5,T5,W5)</f>
        <v>70</v>
      </c>
      <c r="Z5" s="30">
        <f>IF(Y5=0,"",IF(Y5&lt;4,2,IF(AND(Y5&gt;=4,Y5&lt;16),3,IF(AND(Y5&gt;=16,Y5&lt;30),4,IF(AND(Y5&gt;=30),5)))))</f>
        <v>5</v>
      </c>
      <c r="AA5" s="223">
        <v>5</v>
      </c>
      <c r="AB5" s="32" t="s">
        <v>150</v>
      </c>
      <c r="AC5" s="32">
        <v>40</v>
      </c>
      <c r="AD5" s="40">
        <v>5</v>
      </c>
      <c r="AE5" s="30">
        <f>IF(AC5=0,"",IF(AC5&lt;35,2,IF(AND(AC5&gt;=35,AC5&lt;40),3,IF(AND(AC5&gt;=40,AC5&lt;45),4,IF(AND(AC5&gt;=45),5)))))</f>
        <v>4</v>
      </c>
      <c r="AF5" s="32">
        <v>9</v>
      </c>
      <c r="AG5" s="40">
        <v>12</v>
      </c>
      <c r="AH5" s="30">
        <f>IF(AF5=0,"",IF(AF5&lt;5,2,IF(AND(AF5&gt;=5,AF5&lt;6),3,IF(AND(AF5&gt;=6,AF5&lt;8),4,IF(AND(AF5&gt;=8),5)))))</f>
        <v>5</v>
      </c>
      <c r="AI5" s="32">
        <v>120</v>
      </c>
      <c r="AJ5" s="40">
        <v>14</v>
      </c>
      <c r="AK5" s="30">
        <f>IF(AI5=0,"",IF(AI5&lt;85,2,IF(AND(AI5&gt;=85,AI5&lt;95),3,IF(AND(AI5&gt;=95,AI5&lt;105),4,IF(AND(AI5&gt;=105),5)))))</f>
        <v>5</v>
      </c>
      <c r="AL5" s="32">
        <v>15</v>
      </c>
      <c r="AM5" s="40">
        <v>20</v>
      </c>
      <c r="AN5" s="30">
        <f>IF(AL5=0,"",IF(AL5&lt;5,2,IF(AND(AL5&gt;=5,AL5&lt;6),3,IF(AND(AL5&gt;=6,AL5&lt;8),4,IF(AND(AL5&gt;=8),5)))))</f>
        <v>5</v>
      </c>
      <c r="AO5" s="32">
        <v>10</v>
      </c>
      <c r="AP5" s="40">
        <v>10</v>
      </c>
      <c r="AQ5" s="30">
        <f>IF(AO5=0,"",IF(AO5&lt;1,2,IF(AND(AO5&gt;=1,AO5&lt;5),3,IF(AND(AO5&gt;=5,AO5&lt;10),4,IF(AND(AO5&gt;=10),5)))))</f>
        <v>5</v>
      </c>
      <c r="AR5" s="32">
        <v>10</v>
      </c>
      <c r="AS5" s="40">
        <v>10</v>
      </c>
      <c r="AT5" s="30">
        <f>IF(AR5=0,"",IF(AR5&lt;1,2,IF(AND(AR5&gt;=1,AR5&lt;5),3,IF(AND(AR5&gt;=5,AR5&lt;10),4,IF(AND(AR5&gt;=10),5)))))</f>
        <v>5</v>
      </c>
      <c r="AU5" s="40">
        <f>SUM(AD5,AG5,AJ5,AM5,AP5,AS5)</f>
        <v>71</v>
      </c>
      <c r="AV5" s="30">
        <f>IF(AU5=0,"",IF(AU5&lt;6,2,IF(AND(AU5&gt;=6,AU5&lt;20),3,IF(AND(AU5&gt;=20,AU5&lt;46),4,IF(AND(AU5&gt;=46),5)))))</f>
        <v>5</v>
      </c>
      <c r="AW5" s="40">
        <f>SUM(Y5,AU5)</f>
        <v>141</v>
      </c>
      <c r="AX5" s="41"/>
      <c r="AY5" s="32" t="s">
        <v>150</v>
      </c>
      <c r="AZ5" s="32">
        <v>6.2700000000000005</v>
      </c>
      <c r="BA5" s="349">
        <v>10</v>
      </c>
      <c r="BB5" s="30">
        <v>5</v>
      </c>
      <c r="BC5" s="32">
        <v>14.24</v>
      </c>
      <c r="BD5" s="349">
        <v>5</v>
      </c>
      <c r="BE5" s="30">
        <v>4</v>
      </c>
      <c r="BF5" s="32">
        <v>11</v>
      </c>
      <c r="BG5" s="349">
        <v>11</v>
      </c>
      <c r="BH5" s="30">
        <f>IF(BF5=0,"",IF(BF5&lt;6,2,IF(AND(BF5&gt;=6,BF5&lt;8),3,IF(AND(BF5&gt;=8,BF5&lt;10),4,IF(AND(BF5&gt;=10),5)))))</f>
        <v>5</v>
      </c>
      <c r="BI5" s="32">
        <v>13.9</v>
      </c>
      <c r="BJ5" s="349">
        <v>5</v>
      </c>
      <c r="BK5" s="30">
        <f>IF(BI5=0,"",IF(BI5&gt;15.2,2,IF(AND(BI5&lt;=15.2,BI5&gt;14),3,IF(AND(BI5&lt;=14,BI5&gt;13),4,IF(AND(BI5&lt;=13),5)))))</f>
        <v>4</v>
      </c>
      <c r="BL5" s="32"/>
      <c r="BM5" s="349"/>
      <c r="BN5" s="30" t="str">
        <f>IF(BL5=0,"",IF(BL5&lt;2,2,IF(AND(BL5&gt;=2,BL5&lt;4),3,IF(AND(BL5&gt;=4,BL5&lt;5),4,IF(AND(BL5&gt;=5),5)))))</f>
        <v/>
      </c>
      <c r="BO5" s="40">
        <f>SUM(BA5,BD5,BG5,BJ5,BM5)</f>
        <v>31</v>
      </c>
      <c r="BP5" s="30">
        <f>IF(BO5=0,"",IF(BO5&lt;5,2,IF(AND(BO5&gt;=5,BO5&lt;17),3,IF(AND(BO5&gt;=17,BO5&lt;40),4,IF(AND(BO5&gt;=40),5)))))</f>
        <v>4</v>
      </c>
      <c r="BQ5" s="40">
        <f>SUM(AW5,BO5)</f>
        <v>172</v>
      </c>
      <c r="BR5" s="41"/>
      <c r="BS5" s="32">
        <v>9.1999999999999993</v>
      </c>
      <c r="BT5" s="349">
        <v>16</v>
      </c>
      <c r="BU5" s="30">
        <f>IF(BS5=0,"",IF(BS5&gt;11,2,IF(AND(BS5&lt;=11,BS5&gt;10.2),3,IF(AND(BS5&lt;=10.2,BS5&gt;9.4),4,IF(AND(BS5&lt;=9.4),5)))))</f>
        <v>5</v>
      </c>
      <c r="BV5" s="32">
        <v>6.34</v>
      </c>
      <c r="BW5" s="349">
        <v>15</v>
      </c>
      <c r="BX5" s="30">
        <f>IF(BV5=0,"",IF(BV5&gt;8,2,IF(AND(BV5&lt;=8,BV5&gt;7.3),3,IF(AND(BV5&lt;=7.3,BV5&gt;7),4,IF(AND(BV5&lt;=7),5)))))</f>
        <v>5</v>
      </c>
      <c r="BY5" s="32">
        <v>42</v>
      </c>
      <c r="BZ5" s="349">
        <v>16</v>
      </c>
      <c r="CA5" s="30">
        <f>IF(BY5=0,"",IF(BY5&lt;23,2,IF(AND(BY5&gt;=23,BY5&lt;31),3,IF(AND(BY5&gt;=31,BY5&lt;39),4,IF(AND(BY5&gt;=39),5)))))</f>
        <v>5</v>
      </c>
      <c r="CB5" s="32">
        <v>25</v>
      </c>
      <c r="CC5" s="349">
        <v>20</v>
      </c>
      <c r="CD5" s="30">
        <f>IF(CB5=0,"",IF(CB5&lt;4,2,IF(AND(CB5&gt;=4,CB5&lt;8),3,IF(AND(CB5&gt;=8,CB5&lt;15),4,IF(AND(CB5&gt;=15),5)))))</f>
        <v>5</v>
      </c>
      <c r="CE5" s="40">
        <f>SUM(BT5,BW5,BZ5,CC5)</f>
        <v>67</v>
      </c>
      <c r="CF5" s="30">
        <f>IF(CE5=0,"",IF(CE5&lt;4,2,IF(AND(CE5&gt;=4,CE5&lt;16),3,IF(AND(CE5&gt;=16,CE5&lt;30),4,IF(AND(CE5&gt;=30),5)))))</f>
        <v>5</v>
      </c>
      <c r="CG5" s="40">
        <f>SUM(BQ5,CE5)</f>
        <v>239</v>
      </c>
      <c r="CH5" s="223">
        <v>5</v>
      </c>
      <c r="CI5" s="32" t="s">
        <v>150</v>
      </c>
    </row>
    <row r="6" spans="1:87">
      <c r="A6" s="3"/>
      <c r="B6" s="32" t="s">
        <v>151</v>
      </c>
      <c r="C6" s="48">
        <v>34867</v>
      </c>
      <c r="D6" s="47" t="s">
        <v>19</v>
      </c>
      <c r="E6" s="32">
        <v>153</v>
      </c>
      <c r="F6" s="3">
        <v>38</v>
      </c>
      <c r="G6" s="32">
        <v>68</v>
      </c>
      <c r="H6" s="136">
        <v>1.1459999999999999</v>
      </c>
      <c r="I6" s="137">
        <f>F6/(E6/100)^2</f>
        <v>16.233072749797088</v>
      </c>
      <c r="J6" s="43" t="s">
        <v>82</v>
      </c>
      <c r="K6" s="32">
        <f>((E6-F6)*E6)/(H6*2*G6)</f>
        <v>112.89267015706807</v>
      </c>
      <c r="L6" s="32" t="s">
        <v>151</v>
      </c>
      <c r="M6" s="32">
        <v>180</v>
      </c>
      <c r="N6" s="40">
        <v>10</v>
      </c>
      <c r="O6" s="30">
        <f>IF(M6=0,"",IF(M6&lt;170,2,IF(AND(M6&gt;=170,M6&lt;175),3,IF(AND(M6&gt;=175,M6&lt;180),4,IF(AND(M6&gt;=180),5)))))</f>
        <v>5</v>
      </c>
      <c r="P6" s="32">
        <v>4.7</v>
      </c>
      <c r="Q6" s="40">
        <v>18</v>
      </c>
      <c r="R6" s="30">
        <f>IF(P6=0,"",IF(P6&gt;5.8,2,IF(AND(P6&lt;=5.8,P6&gt;5.5),3,IF(AND(P6&lt;=5.5,P6&gt;5.2),4,IF(AND(P6&lt;=5.2),5)))))</f>
        <v>5</v>
      </c>
      <c r="S6" s="32">
        <v>10.199999999999999</v>
      </c>
      <c r="T6" s="40">
        <v>14</v>
      </c>
      <c r="U6" s="30">
        <f>IF(S6=0,"",IF(S6&gt;11,2,IF(AND(S6&lt;=11,S6&gt;10.7),3,IF(AND(S6&lt;=10.7,S6&gt;10.4),4,IF(AND(S6&lt;=10.4),5)))))</f>
        <v>5</v>
      </c>
      <c r="V6" s="32">
        <v>1690</v>
      </c>
      <c r="W6" s="40">
        <v>20</v>
      </c>
      <c r="X6" s="30">
        <f>IF(V6=0,"",IF(V6&lt;1000,2,IF(AND(V6&gt;=1000,V6&lt;1200),3,IF(AND(V6&gt;=1200,V6&lt;1310),4,IF(AND(V6&gt;=1310),5)))))</f>
        <v>5</v>
      </c>
      <c r="Y6" s="40">
        <f>SUM(N6,Q6,T6,W6)</f>
        <v>62</v>
      </c>
      <c r="Z6" s="30">
        <f>IF(Y6=0,"",IF(Y6&lt;4,2,IF(AND(Y6&gt;=4,Y6&lt;16),3,IF(AND(Y6&gt;=16,Y6&lt;30),4,IF(AND(Y6&gt;=30),5)))))</f>
        <v>5</v>
      </c>
      <c r="AA6" s="223">
        <v>5</v>
      </c>
      <c r="AB6" s="32" t="s">
        <v>151</v>
      </c>
      <c r="AC6" s="32">
        <v>39</v>
      </c>
      <c r="AD6" s="40">
        <v>4</v>
      </c>
      <c r="AE6" s="30">
        <f>IF(AC6=0,"",IF(AC6&lt;35,2,IF(AND(AC6&gt;=35,AC6&lt;40),3,IF(AND(AC6&gt;=40,AC6&lt;45),4,IF(AND(AC6&gt;=45),5)))))</f>
        <v>3</v>
      </c>
      <c r="AF6" s="32">
        <v>2</v>
      </c>
      <c r="AG6" s="40">
        <v>0</v>
      </c>
      <c r="AH6" s="30">
        <f>IF(AF6=0,"",IF(AF6&lt;5,2,IF(AND(AF6&gt;=5,AF6&lt;6),3,IF(AND(AF6&gt;=6,AF6&lt;8),4,IF(AND(AF6&gt;=8),5)))))</f>
        <v>2</v>
      </c>
      <c r="AI6" s="32">
        <v>102</v>
      </c>
      <c r="AJ6" s="40">
        <v>8</v>
      </c>
      <c r="AK6" s="30">
        <f>IF(AI6=0,"",IF(AI6&lt;85,2,IF(AND(AI6&gt;=85,AI6&lt;95),3,IF(AND(AI6&gt;=95,AI6&lt;105),4,IF(AND(AI6&gt;=105),5)))))</f>
        <v>4</v>
      </c>
      <c r="AL6" s="32">
        <v>4</v>
      </c>
      <c r="AM6" s="40">
        <v>0</v>
      </c>
      <c r="AN6" s="30">
        <f>IF(AL6=0,"",IF(AL6&lt;5,2,IF(AND(AL6&gt;=5,AL6&lt;6),3,IF(AND(AL6&gt;=6,AL6&lt;8),4,IF(AND(AL6&gt;=8),5)))))</f>
        <v>2</v>
      </c>
      <c r="AO6" s="32">
        <v>5</v>
      </c>
      <c r="AP6" s="40">
        <v>5</v>
      </c>
      <c r="AQ6" s="30">
        <f>IF(AO6=0,"",IF(AO6&lt;1,2,IF(AND(AO6&gt;=1,AO6&lt;5),3,IF(AND(AO6&gt;=5,AO6&lt;10),4,IF(AND(AO6&gt;=10),5)))))</f>
        <v>4</v>
      </c>
      <c r="AR6" s="32">
        <v>7</v>
      </c>
      <c r="AS6" s="40">
        <v>7</v>
      </c>
      <c r="AT6" s="30">
        <f>IF(AR6=0,"",IF(AR6&lt;1,2,IF(AND(AR6&gt;=1,AR6&lt;5),3,IF(AND(AR6&gt;=5,AR6&lt;10),4,IF(AND(AR6&gt;=10),5)))))</f>
        <v>4</v>
      </c>
      <c r="AU6" s="40">
        <f>SUM(AD6,AG6,AJ6,AM6,AP6,AS6)</f>
        <v>24</v>
      </c>
      <c r="AV6" s="30">
        <f>IF(AU6=0,"",IF(AU6&lt;6,2,IF(AND(AU6&gt;=6,AU6&lt;20),3,IF(AND(AU6&gt;=20,AU6&lt;46),4,IF(AND(AU6&gt;=46),5)))))</f>
        <v>4</v>
      </c>
      <c r="AW6" s="40">
        <f>SUM(Y6,AU6)</f>
        <v>86</v>
      </c>
      <c r="AX6" s="41"/>
      <c r="AY6" s="32" t="s">
        <v>151</v>
      </c>
      <c r="AZ6" s="32">
        <v>5.18</v>
      </c>
      <c r="BA6" s="349">
        <v>0</v>
      </c>
      <c r="BB6" s="30">
        <v>2</v>
      </c>
      <c r="BC6" s="32">
        <v>12.42</v>
      </c>
      <c r="BD6" s="349">
        <v>0</v>
      </c>
      <c r="BE6" s="30">
        <v>2</v>
      </c>
      <c r="BF6" s="32">
        <v>15</v>
      </c>
      <c r="BG6" s="349">
        <v>15</v>
      </c>
      <c r="BH6" s="30">
        <f>IF(BF6=0,"",IF(BF6&lt;6,2,IF(AND(BF6&gt;=6,BF6&lt;8),3,IF(AND(BF6&gt;=8,BF6&lt;10),4,IF(AND(BF6&gt;=10),5)))))</f>
        <v>5</v>
      </c>
      <c r="BI6" s="32">
        <v>13</v>
      </c>
      <c r="BJ6" s="349">
        <v>10</v>
      </c>
      <c r="BK6" s="30">
        <f>IF(BI6=0,"",IF(BI6&gt;15.2,2,IF(AND(BI6&lt;=15.2,BI6&gt;14),3,IF(AND(BI6&lt;=14,BI6&gt;13),4,IF(AND(BI6&lt;=13),5)))))</f>
        <v>5</v>
      </c>
      <c r="BL6" s="32">
        <v>6</v>
      </c>
      <c r="BM6" s="349">
        <v>13</v>
      </c>
      <c r="BN6" s="30">
        <f>IF(BL6=0,"",IF(BL6&lt;2,2,IF(AND(BL6&gt;=2,BL6&lt;4),3,IF(AND(BL6&gt;=4,BL6&lt;5),4,IF(AND(BL6&gt;=5),5)))))</f>
        <v>5</v>
      </c>
      <c r="BO6" s="40">
        <f>SUM(BA6,BD6,BG6,BJ6,BM6)</f>
        <v>38</v>
      </c>
      <c r="BP6" s="30">
        <f>IF(BO6=0,"",IF(BO6&lt;5,2,IF(AND(BO6&gt;=5,BO6&lt;17),3,IF(AND(BO6&gt;=17,BO6&lt;40),4,IF(AND(BO6&gt;=40),5)))))</f>
        <v>4</v>
      </c>
      <c r="BQ6" s="40">
        <f>SUM(AW6,BO6)</f>
        <v>124</v>
      </c>
      <c r="BR6" s="41"/>
      <c r="BS6" s="32">
        <v>9</v>
      </c>
      <c r="BT6" s="349">
        <v>20</v>
      </c>
      <c r="BU6" s="30">
        <f>IF(BS6=0,"",IF(BS6&gt;11,2,IF(AND(BS6&lt;=11,BS6&gt;10.2),3,IF(AND(BS6&lt;=10.2,BS6&gt;9.4),4,IF(AND(BS6&lt;=9.4),5)))))</f>
        <v>5</v>
      </c>
      <c r="BV6" s="32">
        <v>6.2</v>
      </c>
      <c r="BW6" s="349">
        <v>20</v>
      </c>
      <c r="BX6" s="30">
        <f>IF(BV6=0,"",IF(BV6&gt;8,2,IF(AND(BV6&lt;=8,BV6&gt;7.3),3,IF(AND(BV6&lt;=7.3,BV6&gt;7),4,IF(AND(BV6&lt;=7),5)))))</f>
        <v>5</v>
      </c>
      <c r="BY6" s="32">
        <v>31</v>
      </c>
      <c r="BZ6" s="349">
        <v>5</v>
      </c>
      <c r="CA6" s="30">
        <f>IF(BY6=0,"",IF(BY6&lt;23,2,IF(AND(BY6&gt;=23,BY6&lt;31),3,IF(AND(BY6&gt;=31,BY6&lt;39),4,IF(AND(BY6&gt;=39),5)))))</f>
        <v>4</v>
      </c>
      <c r="CB6" s="32">
        <v>23</v>
      </c>
      <c r="CC6" s="349">
        <v>20</v>
      </c>
      <c r="CD6" s="30">
        <f>IF(CB6=0,"",IF(CB6&lt;4,2,IF(AND(CB6&gt;=4,CB6&lt;8),3,IF(AND(CB6&gt;=8,CB6&lt;15),4,IF(AND(CB6&gt;=15),5)))))</f>
        <v>5</v>
      </c>
      <c r="CE6" s="40">
        <f>SUM(BT6,BW6,BZ6,CC6)</f>
        <v>65</v>
      </c>
      <c r="CF6" s="30">
        <f>IF(CE6=0,"",IF(CE6&lt;4,2,IF(AND(CE6&gt;=4,CE6&lt;16),3,IF(AND(CE6&gt;=16,CE6&lt;30),4,IF(AND(CE6&gt;=30),5)))))</f>
        <v>5</v>
      </c>
      <c r="CG6" s="40">
        <f>SUM(BQ6,CE6)</f>
        <v>189</v>
      </c>
      <c r="CH6" s="41"/>
      <c r="CI6" s="32" t="s">
        <v>151</v>
      </c>
    </row>
    <row r="7" spans="1:87">
      <c r="A7" s="3"/>
      <c r="B7" s="34" t="s">
        <v>152</v>
      </c>
      <c r="C7" s="48">
        <v>34968</v>
      </c>
      <c r="D7" s="47" t="s">
        <v>19</v>
      </c>
      <c r="E7" s="32">
        <v>147</v>
      </c>
      <c r="F7" s="32">
        <v>34</v>
      </c>
      <c r="G7" s="32">
        <v>59</v>
      </c>
      <c r="H7" s="136">
        <v>1.1459999999999999</v>
      </c>
      <c r="I7" s="137">
        <f>F7/(E7/100)^2</f>
        <v>15.734184830394744</v>
      </c>
      <c r="J7" s="43" t="s">
        <v>82</v>
      </c>
      <c r="K7" s="32">
        <f>((E7-F7)*E7)/(H7*2*G7)</f>
        <v>122.83698642293018</v>
      </c>
      <c r="L7" s="34" t="s">
        <v>152</v>
      </c>
      <c r="M7" s="32">
        <v>148</v>
      </c>
      <c r="N7" s="40">
        <v>0</v>
      </c>
      <c r="O7" s="30">
        <f>IF(M7=0,"",IF(M7&lt;170,2,IF(AND(M7&gt;=170,M7&lt;175),3,IF(AND(M7&gt;=175,M7&lt;180),4,IF(AND(M7&gt;=180),5)))))</f>
        <v>2</v>
      </c>
      <c r="P7" s="32">
        <v>5</v>
      </c>
      <c r="Q7" s="40">
        <v>12</v>
      </c>
      <c r="R7" s="30">
        <f>IF(P7=0,"",IF(P7&gt;5.8,2,IF(AND(P7&lt;=5.8,P7&gt;5.5),3,IF(AND(P7&lt;=5.5,P7&gt;5.2),4,IF(AND(P7&lt;=5.2),5)))))</f>
        <v>5</v>
      </c>
      <c r="S7" s="32">
        <v>10.700000000000001</v>
      </c>
      <c r="T7" s="40">
        <v>5</v>
      </c>
      <c r="U7" s="30">
        <f>IF(S7=0,"",IF(S7&gt;11,2,IF(AND(S7&lt;=11,S7&gt;10.7),3,IF(AND(S7&lt;=10.7,S7&gt;10.4),4,IF(AND(S7&lt;=10.4),5)))))</f>
        <v>4</v>
      </c>
      <c r="V7" s="32">
        <v>1480</v>
      </c>
      <c r="W7" s="40">
        <v>20</v>
      </c>
      <c r="X7" s="30">
        <f>IF(V7=0,"",IF(V7&lt;1000,2,IF(AND(V7&gt;=1000,V7&lt;1200),3,IF(AND(V7&gt;=1200,V7&lt;1310),4,IF(AND(V7&gt;=1310),5)))))</f>
        <v>5</v>
      </c>
      <c r="Y7" s="40">
        <f>SUM(N7,Q7,T7,W7)</f>
        <v>37</v>
      </c>
      <c r="Z7" s="30">
        <f>IF(Y7=0,"",IF(Y7&lt;4,2,IF(AND(Y7&gt;=4,Y7&lt;16),3,IF(AND(Y7&gt;=16,Y7&lt;30),4,IF(AND(Y7&gt;=30),5)))))</f>
        <v>5</v>
      </c>
      <c r="AA7" s="41"/>
      <c r="AB7" s="34" t="s">
        <v>152</v>
      </c>
      <c r="AC7" s="32">
        <v>42</v>
      </c>
      <c r="AD7" s="40">
        <v>7</v>
      </c>
      <c r="AE7" s="30">
        <f>IF(AC7=0,"",IF(AC7&lt;35,2,IF(AND(AC7&gt;=35,AC7&lt;40),3,IF(AND(AC7&gt;=40,AC7&lt;45),4,IF(AND(AC7&gt;=45),5)))))</f>
        <v>4</v>
      </c>
      <c r="AF7" s="32">
        <v>2</v>
      </c>
      <c r="AG7" s="40">
        <v>0</v>
      </c>
      <c r="AH7" s="30">
        <f>IF(AF7=0,"",IF(AF7&lt;5,2,IF(AND(AF7&gt;=5,AF7&lt;6),3,IF(AND(AF7&gt;=6,AF7&lt;8),4,IF(AND(AF7&gt;=8),5)))))</f>
        <v>2</v>
      </c>
      <c r="AI7" s="32">
        <v>96</v>
      </c>
      <c r="AJ7" s="40">
        <v>5</v>
      </c>
      <c r="AK7" s="30">
        <f>IF(AI7=0,"",IF(AI7&lt;85,2,IF(AND(AI7&gt;=85,AI7&lt;95),3,IF(AND(AI7&gt;=95,AI7&lt;105),4,IF(AND(AI7&gt;=105),5)))))</f>
        <v>4</v>
      </c>
      <c r="AL7" s="32">
        <v>5</v>
      </c>
      <c r="AM7" s="40">
        <v>1</v>
      </c>
      <c r="AN7" s="30">
        <f>IF(AL7=0,"",IF(AL7&lt;5,2,IF(AND(AL7&gt;=5,AL7&lt;6),3,IF(AND(AL7&gt;=6,AL7&lt;8),4,IF(AND(AL7&gt;=8),5)))))</f>
        <v>3</v>
      </c>
      <c r="AO7" s="32">
        <v>7</v>
      </c>
      <c r="AP7" s="40">
        <v>7</v>
      </c>
      <c r="AQ7" s="30">
        <f>IF(AO7=0,"",IF(AO7&lt;1,2,IF(AND(AO7&gt;=1,AO7&lt;5),3,IF(AND(AO7&gt;=5,AO7&lt;10),4,IF(AND(AO7&gt;=10),5)))))</f>
        <v>4</v>
      </c>
      <c r="AR7" s="32">
        <v>7</v>
      </c>
      <c r="AS7" s="40">
        <v>7</v>
      </c>
      <c r="AT7" s="30">
        <f>IF(AR7=0,"",IF(AR7&lt;1,2,IF(AND(AR7&gt;=1,AR7&lt;5),3,IF(AND(AR7&gt;=5,AR7&lt;10),4,IF(AND(AR7&gt;=10),5)))))</f>
        <v>4</v>
      </c>
      <c r="AU7" s="40">
        <f>SUM(AD7,AG7,AJ7,AM7,AP7,AS7)</f>
        <v>27</v>
      </c>
      <c r="AV7" s="30">
        <f>IF(AU7=0,"",IF(AU7&lt;6,2,IF(AND(AU7&gt;=6,AU7&lt;20),3,IF(AND(AU7&gt;=20,AU7&lt;46),4,IF(AND(AU7&gt;=46),5)))))</f>
        <v>4</v>
      </c>
      <c r="AW7" s="40">
        <f>SUM(Y7,AU7)</f>
        <v>64</v>
      </c>
      <c r="AX7" s="41"/>
      <c r="AY7" s="34" t="s">
        <v>152</v>
      </c>
      <c r="AZ7" s="32">
        <v>8.26</v>
      </c>
      <c r="BA7" s="349">
        <v>5</v>
      </c>
      <c r="BB7" s="30">
        <v>4</v>
      </c>
      <c r="BC7" s="32">
        <v>17.309999999999999</v>
      </c>
      <c r="BD7" s="349">
        <v>5</v>
      </c>
      <c r="BE7" s="30">
        <v>5</v>
      </c>
      <c r="BF7" s="32">
        <v>7</v>
      </c>
      <c r="BG7" s="349">
        <v>3</v>
      </c>
      <c r="BH7" s="30">
        <f>IF(BF7=0,"",IF(BF7&lt;6,2,IF(AND(BF7&gt;=6,BF7&lt;8),3,IF(AND(BF7&gt;=8,BF7&lt;10),4,IF(AND(BF7&gt;=10),5)))))</f>
        <v>3</v>
      </c>
      <c r="BI7" s="32">
        <v>13.200000000000001</v>
      </c>
      <c r="BJ7" s="349">
        <v>9</v>
      </c>
      <c r="BK7" s="30">
        <f>IF(BI7=0,"",IF(BI7&gt;15.2,2,IF(AND(BI7&lt;=15.2,BI7&gt;14),3,IF(AND(BI7&lt;=14,BI7&gt;13),4,IF(AND(BI7&lt;=13),5)))))</f>
        <v>4</v>
      </c>
      <c r="BL7" s="32">
        <v>3</v>
      </c>
      <c r="BM7" s="349">
        <v>3</v>
      </c>
      <c r="BN7" s="30">
        <f>IF(BL7=0,"",IF(BL7&lt;2,2,IF(AND(BL7&gt;=2,BL7&lt;4),3,IF(AND(BL7&gt;=4,BL7&lt;5),4,IF(AND(BL7&gt;=5),5)))))</f>
        <v>3</v>
      </c>
      <c r="BO7" s="40">
        <f>SUM(BA7,BD7,BG7,BJ7,BM7)</f>
        <v>25</v>
      </c>
      <c r="BP7" s="30">
        <f>IF(BO7=0,"",IF(BO7&lt;5,2,IF(AND(BO7&gt;=5,BO7&lt;17),3,IF(AND(BO7&gt;=17,BO7&lt;40),4,IF(AND(BO7&gt;=40),5)))))</f>
        <v>4</v>
      </c>
      <c r="BQ7" s="40">
        <f>SUM(AW7,BO7)</f>
        <v>89</v>
      </c>
      <c r="BR7" s="41"/>
      <c r="BS7" s="32">
        <v>9.6999999999999993</v>
      </c>
      <c r="BT7" s="349">
        <v>7</v>
      </c>
      <c r="BU7" s="30">
        <f>IF(BS7=0,"",IF(BS7&gt;11,2,IF(AND(BS7&lt;=11,BS7&gt;10.2),3,IF(AND(BS7&lt;=10.2,BS7&gt;9.4),4,IF(AND(BS7&lt;=9.4),5)))))</f>
        <v>4</v>
      </c>
      <c r="BV7" s="32">
        <v>8.5</v>
      </c>
      <c r="BW7" s="349">
        <v>0</v>
      </c>
      <c r="BX7" s="30">
        <f>IF(BV7=0,"",IF(BV7&gt;8,2,IF(AND(BV7&lt;=8,BV7&gt;7.3),3,IF(AND(BV7&lt;=7.3,BV7&gt;7),4,IF(AND(BV7&lt;=7),5)))))</f>
        <v>2</v>
      </c>
      <c r="BY7" s="32">
        <v>34</v>
      </c>
      <c r="BZ7" s="349">
        <v>6</v>
      </c>
      <c r="CA7" s="30">
        <f>IF(BY7=0,"",IF(BY7&lt;23,2,IF(AND(BY7&gt;=23,BY7&lt;31),3,IF(AND(BY7&gt;=31,BY7&lt;39),4,IF(AND(BY7&gt;=39),5)))))</f>
        <v>4</v>
      </c>
      <c r="CB7" s="32">
        <v>22</v>
      </c>
      <c r="CC7" s="349">
        <v>20</v>
      </c>
      <c r="CD7" s="30">
        <f>IF(CB7=0,"",IF(CB7&lt;4,2,IF(AND(CB7&gt;=4,CB7&lt;8),3,IF(AND(CB7&gt;=8,CB7&lt;15),4,IF(AND(CB7&gt;=15),5)))))</f>
        <v>5</v>
      </c>
      <c r="CE7" s="40">
        <f>SUM(BT7,BW7,BZ7,CC7)</f>
        <v>33</v>
      </c>
      <c r="CF7" s="30">
        <f>IF(CE7=0,"",IF(CE7&lt;4,2,IF(AND(CE7&gt;=4,CE7&lt;16),3,IF(AND(CE7&gt;=16,CE7&lt;30),4,IF(AND(CE7&gt;=30),5)))))</f>
        <v>5</v>
      </c>
      <c r="CG7" s="40">
        <f>SUM(BQ7,CE7)</f>
        <v>122</v>
      </c>
      <c r="CH7" s="41"/>
      <c r="CI7" s="34" t="s">
        <v>152</v>
      </c>
    </row>
    <row r="8" spans="1:87">
      <c r="A8" s="8"/>
      <c r="B8" s="114"/>
      <c r="C8" s="138"/>
      <c r="D8" s="138"/>
      <c r="E8" s="138"/>
      <c r="F8" s="138"/>
      <c r="G8" s="138"/>
      <c r="H8" s="138"/>
      <c r="I8" s="138"/>
      <c r="J8" s="138"/>
      <c r="K8" s="139"/>
      <c r="L8" s="114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53"/>
      <c r="AA8" s="138"/>
      <c r="AB8" s="114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38"/>
      <c r="AY8" s="114"/>
      <c r="AZ8" s="138"/>
      <c r="BA8" s="350"/>
      <c r="BB8" s="138"/>
      <c r="BC8" s="138"/>
      <c r="BD8" s="350"/>
      <c r="BE8" s="138"/>
      <c r="BF8" s="138"/>
      <c r="BG8" s="350"/>
      <c r="BH8" s="138"/>
      <c r="BI8" s="138"/>
      <c r="BJ8" s="350"/>
      <c r="BK8" s="138"/>
      <c r="BL8" s="138"/>
      <c r="BM8" s="350"/>
      <c r="BN8" s="138"/>
      <c r="BO8" s="138"/>
      <c r="BP8" s="138"/>
      <c r="BQ8" s="138"/>
      <c r="BR8" s="138"/>
      <c r="BS8" s="138"/>
      <c r="BT8" s="350"/>
      <c r="BU8" s="138"/>
      <c r="BV8" s="138"/>
      <c r="BW8" s="350"/>
      <c r="BX8" s="138"/>
      <c r="BY8" s="138"/>
      <c r="BZ8" s="350"/>
      <c r="CA8" s="138"/>
      <c r="CB8" s="138"/>
      <c r="CC8" s="350"/>
      <c r="CD8" s="138"/>
      <c r="CE8" s="138"/>
      <c r="CF8" s="138"/>
      <c r="CG8" s="138"/>
      <c r="CH8" s="138"/>
      <c r="CI8" s="114"/>
    </row>
    <row r="9" spans="1:87">
      <c r="A9" s="3"/>
      <c r="B9" s="45" t="s">
        <v>153</v>
      </c>
      <c r="C9" s="48">
        <v>34488</v>
      </c>
      <c r="D9" s="47" t="s">
        <v>19</v>
      </c>
      <c r="E9" s="32">
        <v>152</v>
      </c>
      <c r="F9" s="3">
        <v>39</v>
      </c>
      <c r="G9" s="32">
        <v>65</v>
      </c>
      <c r="H9" s="32">
        <v>1.091</v>
      </c>
      <c r="I9" s="137">
        <f>F9/(E9/100)^2</f>
        <v>16.880193905817176</v>
      </c>
      <c r="J9" s="43" t="s">
        <v>82</v>
      </c>
      <c r="K9" s="32">
        <f>((E9-F9)*E9)/(H9*2*G9)</f>
        <v>121.10272861876896</v>
      </c>
      <c r="L9" s="45" t="s">
        <v>153</v>
      </c>
      <c r="M9" s="32">
        <v>163</v>
      </c>
      <c r="N9" s="40">
        <v>8</v>
      </c>
      <c r="O9" s="30">
        <f>IF(M9=0,"",IF(M9&lt;150,2,IF(AND(M9&gt;=150,M9&lt;158),3,IF(AND(M9&gt;=158,M9&lt;165),4,IF(AND(M9&gt;=165),5)))))</f>
        <v>4</v>
      </c>
      <c r="P9" s="32">
        <v>4.7</v>
      </c>
      <c r="Q9" s="40">
        <v>20</v>
      </c>
      <c r="R9" s="30">
        <f>IF(P9=0,"",IF(P9&gt;6.1,2,IF(AND(P9&lt;=6.1,P9&gt;5.8),3,IF(AND(P9&lt;=5.8,P9&gt;5.5),4,IF(AND(P9&lt;=5.5),5)))))</f>
        <v>5</v>
      </c>
      <c r="S9" s="32">
        <v>11</v>
      </c>
      <c r="T9" s="40">
        <v>5</v>
      </c>
      <c r="U9" s="30">
        <f>IF(S9=0,"",IF(S9&gt;11.5,2,IF(AND(S9&lt;=11.5,S9&gt;11),3,IF(AND(S9&lt;=11,S9&gt;10.8),4,IF(AND(S9&lt;=10.8),5)))))</f>
        <v>4</v>
      </c>
      <c r="V9" s="32">
        <v>1590</v>
      </c>
      <c r="W9" s="40">
        <v>20</v>
      </c>
      <c r="X9" s="30">
        <f>IF(V9=0,"",IF(V9&lt;1000,2,IF(AND(V9&gt;=1000,V9&lt;1110),3,IF(AND(V9&gt;=1110,V9&lt;1200),4,IF(AND(V9&gt;=1200),5)))))</f>
        <v>5</v>
      </c>
      <c r="Y9" s="40">
        <f>SUM(N9,Q9,T9,W9)</f>
        <v>53</v>
      </c>
      <c r="Z9" s="30">
        <f>IF(Y9=0,"",IF(Y9&lt;4,2,IF(AND(Y9&gt;=4,Y9&lt;16),3,IF(AND(Y9&gt;=16,Y9&lt;30),4,IF(AND(Y9&gt;=30),5)))))</f>
        <v>5</v>
      </c>
      <c r="AA9" s="141"/>
      <c r="AB9" s="45" t="s">
        <v>153</v>
      </c>
      <c r="AC9" s="32">
        <v>35</v>
      </c>
      <c r="AD9" s="40">
        <v>10</v>
      </c>
      <c r="AE9" s="30">
        <f>IF(AC9=0,"",IF(AC9&lt;25,2,IF(AND(AC9&gt;=25,AC9&lt;30),3,IF(AND(AC9&gt;=30,AC9&lt;35),4,IF(AND(AC9&gt;=35),5)))))</f>
        <v>5</v>
      </c>
      <c r="AF9" s="32">
        <v>14</v>
      </c>
      <c r="AG9" s="40">
        <v>12</v>
      </c>
      <c r="AH9" s="30">
        <f>IF(AF9=0,"",IF(AF9&lt;9,2,IF(AND(AF9&gt;=9,AF9&lt;10),3,IF(AND(AF9&gt;=10,AF9&lt;13),4,IF(AND(AF9&gt;=13),5)))))</f>
        <v>5</v>
      </c>
      <c r="AI9" s="32">
        <v>107</v>
      </c>
      <c r="AJ9" s="40">
        <v>9</v>
      </c>
      <c r="AK9" s="30">
        <f>IF(AI9=0,"",IF(AI9&lt;45,2,IF(AND(AI9&gt;=45,AI9&lt;70),3,IF(AND(AI9&gt;=70,AI9&lt;110),4,IF(AND(AI9&gt;=110),5)))))</f>
        <v>4</v>
      </c>
      <c r="AL9" s="32">
        <v>11</v>
      </c>
      <c r="AM9" s="40">
        <v>7</v>
      </c>
      <c r="AN9" s="30">
        <f>IF(AL9=0,"",IF(AL9&lt;9,2,IF(AND(AL9&gt;=9,AL9&lt;10),3,IF(AND(AL9&gt;=10,AL9&lt;13),4,IF(AND(AL9&gt;=13),5)))))</f>
        <v>4</v>
      </c>
      <c r="AO9" s="32">
        <v>12</v>
      </c>
      <c r="AP9" s="40">
        <v>12</v>
      </c>
      <c r="AQ9" s="30">
        <f>IF(AO9=0,"",IF(AO9&lt;1,2,IF(AND(AO9&gt;=1,AO9&lt;5),3,IF(AND(AO9&gt;=5,AO9&lt;10),4,IF(AND(AO9&gt;=10),5)))))</f>
        <v>5</v>
      </c>
      <c r="AR9" s="32">
        <v>8</v>
      </c>
      <c r="AS9" s="40">
        <v>8</v>
      </c>
      <c r="AT9" s="30">
        <f>IF(AR9=0,"",IF(AR9&lt;1,2,IF(AND(AR9&gt;=1,AR9&lt;5),3,IF(AND(AR9&gt;=5,AR9&lt;10),4,IF(AND(AR9&gt;=10),5)))))</f>
        <v>4</v>
      </c>
      <c r="AU9" s="40">
        <f>SUM(AD9,AG9,AJ9,AM9,AP9,AS9)</f>
        <v>58</v>
      </c>
      <c r="AV9" s="30">
        <f>IF(AU9=0,"",IF(AU9&lt;6,2,IF(AND(AU9&gt;=6,AU9&lt;20),3,IF(AND(AU9&gt;=20,AU9&lt;46),4,IF(AND(AU9&gt;=46),5)))))</f>
        <v>5</v>
      </c>
      <c r="AW9" s="40">
        <f>SUM(Y9,AU9)</f>
        <v>111</v>
      </c>
      <c r="AX9" s="141"/>
      <c r="AY9" s="45" t="s">
        <v>153</v>
      </c>
      <c r="AZ9" s="32">
        <v>7.11</v>
      </c>
      <c r="BA9" s="349">
        <v>10</v>
      </c>
      <c r="BB9" s="30">
        <v>5</v>
      </c>
      <c r="BC9" s="32">
        <v>15.14</v>
      </c>
      <c r="BD9" s="349">
        <v>5</v>
      </c>
      <c r="BE9" s="30">
        <v>4</v>
      </c>
      <c r="BF9" s="32">
        <v>20</v>
      </c>
      <c r="BG9" s="349">
        <v>20</v>
      </c>
      <c r="BH9" s="30">
        <f t="shared" ref="BH9:BH14" si="0">IF(BF9=0,"",IF(BF9&lt;6,2,IF(AND(BF9&gt;=6,BF9&lt;8),3,IF(AND(BF9&gt;=8,BF9&lt;10),4,IF(AND(BF9&gt;=10),5)))))</f>
        <v>5</v>
      </c>
      <c r="BI9" s="32">
        <v>13.200000000000001</v>
      </c>
      <c r="BJ9" s="349">
        <v>16</v>
      </c>
      <c r="BK9" s="30">
        <f t="shared" ref="BK9:BK14" si="1">IF(BI9=0,"",IF(BI9&gt;17.2,2,IF(AND(BI9&lt;=17.2,BI9&gt;15.8),3,IF(AND(BI9&lt;=15.8,BI9&gt;14.6),4,IF(AND(BI9&lt;=14.6),5)))))</f>
        <v>5</v>
      </c>
      <c r="BL9" s="32">
        <v>6</v>
      </c>
      <c r="BM9" s="349">
        <v>14</v>
      </c>
      <c r="BN9" s="30">
        <f t="shared" ref="BN9:BN14" si="2">IF(BL9=0,"",IF(BL9&lt;1,2,IF(AND(BL9&gt;=1,BL9&lt;3),3,IF(AND(BL9&gt;=3,BL9&lt;4),4,IF(AND(BL9&gt;=4),5)))))</f>
        <v>5</v>
      </c>
      <c r="BO9" s="40">
        <f>SUM(BA9,BD9,BG9,BJ9,BM9)</f>
        <v>65</v>
      </c>
      <c r="BP9" s="30">
        <f>IF(BO9=0,"",IF(BO9&lt;5,2,IF(AND(BO9&gt;=5,BO9&lt;17),3,IF(AND(BO9&gt;=17,BO9&lt;40),4,IF(AND(BO9&gt;=40),5)))))</f>
        <v>5</v>
      </c>
      <c r="BQ9" s="40">
        <f>SUM(AW9,BO9)</f>
        <v>176</v>
      </c>
      <c r="BR9" s="41"/>
      <c r="BS9" s="32">
        <v>9</v>
      </c>
      <c r="BT9" s="349">
        <v>20</v>
      </c>
      <c r="BU9" s="30">
        <f>IF(BS9=0,"",IF(BS9&gt;11,2,IF(AND(BS9&lt;=11,BS9&gt;10.4),3,IF(AND(BS9&lt;=10.4,BS9&gt;10.2),4,IF(AND(BS9&lt;=10.2),5)))))</f>
        <v>5</v>
      </c>
      <c r="BV9" s="32">
        <v>6.56</v>
      </c>
      <c r="BW9" s="349">
        <v>20</v>
      </c>
      <c r="BX9" s="30">
        <f>IF(BV9=0,"",IF(BV9&gt;8.3,2,IF(AND(BV9&lt;=8.3,BV9&gt;8),3,IF(AND(BV9&lt;=8,BV9&gt;7.3),4,IF(AND(BV9&lt;=7.3),5)))))</f>
        <v>5</v>
      </c>
      <c r="BY9" s="32">
        <v>30</v>
      </c>
      <c r="BZ9" s="349">
        <v>18</v>
      </c>
      <c r="CA9" s="30">
        <f>IF(BY9=0,"",IF(BY9&lt;16,2,IF(AND(BY9&gt;=16,BY9&lt;19),3,IF(AND(BY9&gt;=19,BY9&lt;26),4,IF(AND(BY9&gt;=26),5)))))</f>
        <v>5</v>
      </c>
      <c r="CB9" s="32">
        <v>22</v>
      </c>
      <c r="CC9" s="349">
        <v>20</v>
      </c>
      <c r="CD9" s="30">
        <f>IF(CB9=0,"",IF(CB9&lt;2,2,IF(AND(CB9&gt;=2,CB9&lt;4),3,IF(AND(CB9&gt;=4,CB9&lt;7),4,IF(AND(CB9&gt;=7),5)))))</f>
        <v>5</v>
      </c>
      <c r="CE9" s="40">
        <f>SUM(BT9,BW9,BZ9,CC9)</f>
        <v>78</v>
      </c>
      <c r="CF9" s="30">
        <f>IF(CE9=0,"",IF(CE9&lt;4,2,IF(AND(CE9&gt;=4,CE9&lt;16),3,IF(AND(CE9&gt;=16,CE9&lt;30),4,IF(AND(CE9&gt;=30),5)))))</f>
        <v>5</v>
      </c>
      <c r="CG9" s="40">
        <f>SUM(BQ9,CE9)</f>
        <v>254</v>
      </c>
      <c r="CH9" s="223">
        <v>5</v>
      </c>
      <c r="CI9" s="45" t="s">
        <v>153</v>
      </c>
    </row>
    <row r="10" spans="1:87">
      <c r="A10" s="3"/>
      <c r="B10" s="32" t="s">
        <v>154</v>
      </c>
      <c r="C10" s="48">
        <v>35043</v>
      </c>
      <c r="D10" s="47" t="s">
        <v>19</v>
      </c>
      <c r="E10" s="45">
        <v>155</v>
      </c>
      <c r="F10" s="3">
        <v>50</v>
      </c>
      <c r="G10" s="45">
        <v>71</v>
      </c>
      <c r="H10" s="32">
        <v>1.121</v>
      </c>
      <c r="I10" s="137">
        <f>F10/(E10/100)^2</f>
        <v>20.811654526534856</v>
      </c>
      <c r="J10" s="43" t="s">
        <v>26</v>
      </c>
      <c r="K10" s="32">
        <f>((E10-F10)*E10)/(H10*2*G10)</f>
        <v>102.24145946149692</v>
      </c>
      <c r="L10" s="32" t="s">
        <v>154</v>
      </c>
      <c r="M10" s="45">
        <v>171</v>
      </c>
      <c r="N10" s="66">
        <v>16</v>
      </c>
      <c r="O10" s="30">
        <f>IF(M10=0,"",IF(M10&lt;150,2,IF(AND(M10&gt;=150,M10&lt;158),3,IF(AND(M10&gt;=158,M10&lt;165),4,IF(AND(M10&gt;=165),5)))))</f>
        <v>5</v>
      </c>
      <c r="P10" s="45">
        <v>4.7</v>
      </c>
      <c r="Q10" s="66">
        <v>20</v>
      </c>
      <c r="R10" s="30">
        <f>IF(P10=0,"",IF(P10&gt;6.1,2,IF(AND(P10&lt;=6.1,P10&gt;5.8),3,IF(AND(P10&lt;=5.8,P10&gt;5.5),4,IF(AND(P10&lt;=5.5),5)))))</f>
        <v>5</v>
      </c>
      <c r="S10" s="45">
        <v>11</v>
      </c>
      <c r="T10" s="66">
        <v>5</v>
      </c>
      <c r="U10" s="30">
        <f>IF(S10=0,"",IF(S10&gt;11.5,2,IF(AND(S10&lt;=11.5,S10&gt;11),3,IF(AND(S10&lt;=11,S10&gt;10.8),4,IF(AND(S10&lt;=10.8),5)))))</f>
        <v>4</v>
      </c>
      <c r="V10" s="45">
        <v>1590</v>
      </c>
      <c r="W10" s="66">
        <v>20</v>
      </c>
      <c r="X10" s="30">
        <f>IF(V10=0,"",IF(V10&lt;1000,2,IF(AND(V10&gt;=1000,V10&lt;1110),3,IF(AND(V10&gt;=1110,V10&lt;1200),4,IF(AND(V10&gt;=1200),5)))))</f>
        <v>5</v>
      </c>
      <c r="Y10" s="40">
        <f>SUM(N10,Q10,T10,W10)</f>
        <v>61</v>
      </c>
      <c r="Z10" s="30">
        <f>IF(Y10=0,"",IF(Y10&lt;4,2,IF(AND(Y10&gt;=4,Y10&lt;16),3,IF(AND(Y10&gt;=16,Y10&lt;30),4,IF(AND(Y10&gt;=30),5)))))</f>
        <v>5</v>
      </c>
      <c r="AA10" s="41"/>
      <c r="AB10" s="32" t="s">
        <v>154</v>
      </c>
      <c r="AC10" s="32">
        <v>31</v>
      </c>
      <c r="AD10" s="40">
        <v>6</v>
      </c>
      <c r="AE10" s="30">
        <f>IF(AC10=0,"",IF(AC10&lt;25,2,IF(AND(AC10&gt;=25,AC10&lt;30),3,IF(AND(AC10&gt;=30,AC10&lt;35),4,IF(AND(AC10&gt;=35),5)))))</f>
        <v>4</v>
      </c>
      <c r="AF10" s="32">
        <v>18</v>
      </c>
      <c r="AG10" s="40">
        <v>19</v>
      </c>
      <c r="AH10" s="30">
        <f>IF(AF10=0,"",IF(AF10&lt;9,2,IF(AND(AF10&gt;=9,AF10&lt;10),3,IF(AND(AF10&gt;=10,AF10&lt;13),4,IF(AND(AF10&gt;=13),5)))))</f>
        <v>5</v>
      </c>
      <c r="AI10" s="32">
        <v>144</v>
      </c>
      <c r="AJ10" s="40">
        <v>20</v>
      </c>
      <c r="AK10" s="30">
        <f>IF(AI10=0,"",IF(AI10&lt;45,2,IF(AND(AI10&gt;=45,AI10&lt;70),3,IF(AND(AI10&gt;=70,AI10&lt;110),4,IF(AND(AI10&gt;=110),5)))))</f>
        <v>5</v>
      </c>
      <c r="AL10" s="32">
        <v>3</v>
      </c>
      <c r="AM10" s="40">
        <v>0</v>
      </c>
      <c r="AN10" s="30">
        <f>IF(AL10=0,"",IF(AL10&lt;9,2,IF(AND(AL10&gt;=9,AL10&lt;10),3,IF(AND(AL10&gt;=10,AL10&lt;13),4,IF(AND(AL10&gt;=13),5)))))</f>
        <v>2</v>
      </c>
      <c r="AO10" s="32">
        <v>10</v>
      </c>
      <c r="AP10" s="40">
        <v>10</v>
      </c>
      <c r="AQ10" s="30">
        <f>IF(AO10=0,"",IF(AO10&lt;1,2,IF(AND(AO10&gt;=1,AO10&lt;5),3,IF(AND(AO10&gt;=5,AO10&lt;10),4,IF(AND(AO10&gt;=10),5)))))</f>
        <v>5</v>
      </c>
      <c r="AR10" s="32">
        <v>10</v>
      </c>
      <c r="AS10" s="40">
        <v>10</v>
      </c>
      <c r="AT10" s="30">
        <f>IF(AR10=0,"",IF(AR10&lt;1,2,IF(AND(AR10&gt;=1,AR10&lt;5),3,IF(AND(AR10&gt;=5,AR10&lt;10),4,IF(AND(AR10&gt;=10),5)))))</f>
        <v>5</v>
      </c>
      <c r="AU10" s="40">
        <f>SUM(AD10,AG10,AJ10,AM10,AP10,AS10)</f>
        <v>65</v>
      </c>
      <c r="AV10" s="30">
        <f>IF(AU10=0,"",IF(AU10&lt;6,2,IF(AND(AU10&gt;=6,AU10&lt;20),3,IF(AND(AU10&gt;=20,AU10&lt;46),4,IF(AND(AU10&gt;=46),5)))))</f>
        <v>5</v>
      </c>
      <c r="AW10" s="40">
        <f>SUM(Y10,AU10)</f>
        <v>126</v>
      </c>
      <c r="AX10" s="41"/>
      <c r="AY10" s="32" t="s">
        <v>154</v>
      </c>
      <c r="AZ10" s="45">
        <v>7.48</v>
      </c>
      <c r="BA10" s="351">
        <v>5</v>
      </c>
      <c r="BB10" s="30">
        <v>4</v>
      </c>
      <c r="BC10" s="45">
        <v>15.51</v>
      </c>
      <c r="BD10" s="351">
        <v>5</v>
      </c>
      <c r="BE10" s="30">
        <v>4</v>
      </c>
      <c r="BF10" s="45">
        <v>15</v>
      </c>
      <c r="BG10" s="351">
        <v>15</v>
      </c>
      <c r="BH10" s="30">
        <f t="shared" si="0"/>
        <v>5</v>
      </c>
      <c r="BI10" s="45">
        <v>14</v>
      </c>
      <c r="BJ10" s="351">
        <v>12</v>
      </c>
      <c r="BK10" s="30">
        <f t="shared" si="1"/>
        <v>5</v>
      </c>
      <c r="BL10" s="45">
        <v>4</v>
      </c>
      <c r="BM10" s="351">
        <v>10</v>
      </c>
      <c r="BN10" s="30">
        <f t="shared" si="2"/>
        <v>5</v>
      </c>
      <c r="BO10" s="40">
        <f>SUM(BA10,BD10,BG10,BJ10,BM10)</f>
        <v>47</v>
      </c>
      <c r="BP10" s="30">
        <f>IF(BO10=0,"",IF(BO10&lt;5,2,IF(AND(BO10&gt;=5,BO10&lt;17),3,IF(AND(BO10&gt;=17,BO10&lt;40),4,IF(AND(BO10&gt;=40),5)))))</f>
        <v>5</v>
      </c>
      <c r="BQ10" s="40">
        <f>SUM(AW10,BO10)</f>
        <v>173</v>
      </c>
      <c r="BR10" s="41"/>
      <c r="BS10" s="45">
        <v>9.4</v>
      </c>
      <c r="BT10" s="351">
        <v>19</v>
      </c>
      <c r="BU10" s="30">
        <f>IF(BS10=0,"",IF(BS10&gt;11,2,IF(AND(BS10&lt;=11,BS10&gt;10.4),3,IF(AND(BS10&lt;=10.4,BS10&gt;10.2),4,IF(AND(BS10&lt;=10.2),5)))))</f>
        <v>5</v>
      </c>
      <c r="BV10" s="45">
        <v>7.1</v>
      </c>
      <c r="BW10" s="351">
        <v>20</v>
      </c>
      <c r="BX10" s="30">
        <f>IF(BV10=0,"",IF(BV10&gt;8.3,2,IF(AND(BV10&lt;=8.3,BV10&gt;8),3,IF(AND(BV10&lt;=8,BV10&gt;7.3),4,IF(AND(BV10&lt;=7.3),5)))))</f>
        <v>5</v>
      </c>
      <c r="BY10" s="45">
        <v>20</v>
      </c>
      <c r="BZ10" s="351">
        <v>5</v>
      </c>
      <c r="CA10" s="30">
        <f>IF(BY10=0,"",IF(BY10&lt;16,2,IF(AND(BY10&gt;=16,BY10&lt;19),3,IF(AND(BY10&gt;=19,BY10&lt;26),4,IF(AND(BY10&gt;=26),5)))))</f>
        <v>4</v>
      </c>
      <c r="CB10" s="45">
        <v>10</v>
      </c>
      <c r="CC10" s="351">
        <v>20</v>
      </c>
      <c r="CD10" s="30">
        <f>IF(CB10=0,"",IF(CB10&lt;2,2,IF(AND(CB10&gt;=2,CB10&lt;4),3,IF(AND(CB10&gt;=4,CB10&lt;7),4,IF(AND(CB10&gt;=7),5)))))</f>
        <v>5</v>
      </c>
      <c r="CE10" s="40">
        <f>SUM(BT10,BW10,BZ10,CC10)</f>
        <v>64</v>
      </c>
      <c r="CF10" s="30">
        <f>IF(CE10=0,"",IF(CE10&lt;4,2,IF(AND(CE10&gt;=4,CE10&lt;16),3,IF(AND(CE10&gt;=16,CE10&lt;30),4,IF(AND(CE10&gt;=30),5)))))</f>
        <v>5</v>
      </c>
      <c r="CG10" s="40">
        <f>SUM(BQ10,CE10)</f>
        <v>237</v>
      </c>
      <c r="CH10" s="41"/>
      <c r="CI10" s="32" t="s">
        <v>154</v>
      </c>
    </row>
    <row r="11" spans="1:87">
      <c r="A11" s="3"/>
      <c r="B11" s="32" t="s">
        <v>155</v>
      </c>
      <c r="C11" s="48">
        <v>35070</v>
      </c>
      <c r="D11" s="47" t="s">
        <v>19</v>
      </c>
      <c r="E11" s="32">
        <v>140</v>
      </c>
      <c r="F11" s="3">
        <v>34</v>
      </c>
      <c r="G11" s="32">
        <v>66</v>
      </c>
      <c r="H11" s="32">
        <v>1.145</v>
      </c>
      <c r="I11" s="137">
        <f>F11/(E11/100)^2</f>
        <v>17.346938775510207</v>
      </c>
      <c r="J11" s="43" t="s">
        <v>30</v>
      </c>
      <c r="K11" s="32">
        <f>((E11-F11)*E11)/(H11*2*G11)</f>
        <v>98.187111287547964</v>
      </c>
      <c r="L11" s="32" t="s">
        <v>155</v>
      </c>
      <c r="M11" s="32">
        <v>143</v>
      </c>
      <c r="N11" s="40">
        <v>0</v>
      </c>
      <c r="O11" s="30">
        <f>IF(M11=0,"",IF(M11&lt;150,2,IF(AND(M11&gt;=150,M11&lt;158),3,IF(AND(M11&gt;=158,M11&lt;165),4,IF(AND(M11&gt;=165),5)))))</f>
        <v>2</v>
      </c>
      <c r="P11" s="32">
        <v>5.5</v>
      </c>
      <c r="Q11" s="40">
        <v>10</v>
      </c>
      <c r="R11" s="30">
        <f>IF(P11=0,"",IF(P11&gt;6.1,2,IF(AND(P11&lt;=6.1,P11&gt;5.8),3,IF(AND(P11&lt;=5.8,P11&gt;5.5),4,IF(AND(P11&lt;=5.5),5)))))</f>
        <v>5</v>
      </c>
      <c r="S11" s="32">
        <v>12.4</v>
      </c>
      <c r="T11" s="40">
        <v>0</v>
      </c>
      <c r="U11" s="30">
        <f>IF(S11=0,"",IF(S11&gt;11.5,2,IF(AND(S11&lt;=11.5,S11&gt;11),3,IF(AND(S11&lt;=11,S11&gt;10.8),4,IF(AND(S11&lt;=10.8),5)))))</f>
        <v>2</v>
      </c>
      <c r="V11" s="32">
        <v>1185</v>
      </c>
      <c r="W11" s="40">
        <v>8</v>
      </c>
      <c r="X11" s="30">
        <f>IF(V11=0,"",IF(V11&lt;1000,2,IF(AND(V11&gt;=1000,V11&lt;1110),3,IF(AND(V11&gt;=1110,V11&lt;1200),4,IF(AND(V11&gt;=1200),5)))))</f>
        <v>4</v>
      </c>
      <c r="Y11" s="40">
        <f>SUM(N11,Q11,T11,W11)</f>
        <v>18</v>
      </c>
      <c r="Z11" s="30">
        <f>IF(Y11=0,"",IF(Y11&lt;4,2,IF(AND(Y11&gt;=4,Y11&lt;16),3,IF(AND(Y11&gt;=16,Y11&lt;30),4,IF(AND(Y11&gt;=30),5)))))</f>
        <v>4</v>
      </c>
      <c r="AA11" s="41"/>
      <c r="AB11" s="32" t="s">
        <v>155</v>
      </c>
      <c r="AC11" s="32">
        <v>26</v>
      </c>
      <c r="AD11" s="40">
        <v>1</v>
      </c>
      <c r="AE11" s="30">
        <f>IF(AC11=0,"",IF(AC11&lt;25,2,IF(AND(AC11&gt;=25,AC11&lt;30),3,IF(AND(AC11&gt;=30,AC11&lt;35),4,IF(AND(AC11&gt;=35),5)))))</f>
        <v>3</v>
      </c>
      <c r="AF11" s="32">
        <v>-2</v>
      </c>
      <c r="AG11" s="40">
        <v>0</v>
      </c>
      <c r="AH11" s="30">
        <f>IF(AF11=0,"",IF(AF11&lt;9,2,IF(AND(AF11&gt;=9,AF11&lt;10),3,IF(AND(AF11&gt;=10,AF11&lt;13),4,IF(AND(AF11&gt;=13),5)))))</f>
        <v>2</v>
      </c>
      <c r="AI11" s="32">
        <v>126</v>
      </c>
      <c r="AJ11" s="40">
        <v>15</v>
      </c>
      <c r="AK11" s="30">
        <f>IF(AI11=0,"",IF(AI11&lt;45,2,IF(AND(AI11&gt;=45,AI11&lt;70),3,IF(AND(AI11&gt;=70,AI11&lt;110),4,IF(AND(AI11&gt;=110),5)))))</f>
        <v>5</v>
      </c>
      <c r="AL11" s="32">
        <v>13</v>
      </c>
      <c r="AM11" s="40">
        <v>10</v>
      </c>
      <c r="AN11" s="30">
        <f>IF(AL11=0,"",IF(AL11&lt;9,2,IF(AND(AL11&gt;=9,AL11&lt;10),3,IF(AND(AL11&gt;=10,AL11&lt;13),4,IF(AND(AL11&gt;=13),5)))))</f>
        <v>5</v>
      </c>
      <c r="AO11" s="32">
        <v>8</v>
      </c>
      <c r="AP11" s="40">
        <v>8</v>
      </c>
      <c r="AQ11" s="30">
        <f>IF(AO11=0,"",IF(AO11&lt;1,2,IF(AND(AO11&gt;=1,AO11&lt;5),3,IF(AND(AO11&gt;=5,AO11&lt;10),4,IF(AND(AO11&gt;=10),5)))))</f>
        <v>4</v>
      </c>
      <c r="AR11" s="32"/>
      <c r="AS11" s="40"/>
      <c r="AT11" s="30" t="str">
        <f>IF(AR11=0,"",IF(AR11&lt;1,2,IF(AND(AR11&gt;=1,AR11&lt;5),3,IF(AND(AR11&gt;=5,AR11&lt;10),4,IF(AND(AR11&gt;=10),5)))))</f>
        <v/>
      </c>
      <c r="AU11" s="40">
        <f>SUM(AD11,AG11,AJ11,AM11,AP11,AS11)</f>
        <v>34</v>
      </c>
      <c r="AV11" s="30">
        <f>IF(AU11=0,"",IF(AU11&lt;6,2,IF(AND(AU11&gt;=6,AU11&lt;20),3,IF(AND(AU11&gt;=20,AU11&lt;46),4,IF(AND(AU11&gt;=46),5)))))</f>
        <v>4</v>
      </c>
      <c r="AW11" s="40">
        <f>SUM(Y11,AU11)</f>
        <v>52</v>
      </c>
      <c r="AX11" s="41"/>
      <c r="AY11" s="32" t="s">
        <v>155</v>
      </c>
      <c r="AZ11" s="32">
        <v>8.43</v>
      </c>
      <c r="BA11" s="349">
        <v>5</v>
      </c>
      <c r="BB11" s="30">
        <v>4</v>
      </c>
      <c r="BC11" s="32">
        <v>17.47</v>
      </c>
      <c r="BD11" s="349">
        <v>5</v>
      </c>
      <c r="BE11" s="30">
        <v>4</v>
      </c>
      <c r="BF11" s="32">
        <v>3</v>
      </c>
      <c r="BG11" s="349">
        <v>0</v>
      </c>
      <c r="BH11" s="30">
        <f t="shared" si="0"/>
        <v>2</v>
      </c>
      <c r="BI11" s="32">
        <v>15.1</v>
      </c>
      <c r="BJ11" s="349">
        <v>7</v>
      </c>
      <c r="BK11" s="30">
        <f t="shared" si="1"/>
        <v>4</v>
      </c>
      <c r="BL11" s="32">
        <v>2</v>
      </c>
      <c r="BM11" s="349">
        <v>3</v>
      </c>
      <c r="BN11" s="30">
        <f t="shared" si="2"/>
        <v>3</v>
      </c>
      <c r="BO11" s="40">
        <f>SUM(BA11,BD11,BG11,BJ11,BM11)</f>
        <v>20</v>
      </c>
      <c r="BP11" s="30">
        <f>IF(BO11=0,"",IF(BO11&lt;5,2,IF(AND(BO11&gt;=5,BO11&lt;17),3,IF(AND(BO11&gt;=17,BO11&lt;40),4,IF(AND(BO11&gt;=40),5)))))</f>
        <v>4</v>
      </c>
      <c r="BQ11" s="40">
        <f>SUM(AW11,BO11)</f>
        <v>72</v>
      </c>
      <c r="BR11" s="41"/>
      <c r="BS11" s="32">
        <v>11.5</v>
      </c>
      <c r="BT11" s="349">
        <v>0</v>
      </c>
      <c r="BU11" s="30">
        <f>IF(BS11=0,"",IF(BS11&gt;11,2,IF(AND(BS11&lt;=11,BS11&gt;10.4),3,IF(AND(BS11&lt;=10.4,BS11&gt;10.2),4,IF(AND(BS11&lt;=10.2),5)))))</f>
        <v>2</v>
      </c>
      <c r="BV11" s="32">
        <v>9.4700000000000006</v>
      </c>
      <c r="BW11" s="349">
        <v>0</v>
      </c>
      <c r="BX11" s="30">
        <f>IF(BV11=0,"",IF(BV11&gt;8.3,2,IF(AND(BV11&lt;=8.3,BV11&gt;8),3,IF(AND(BV11&lt;=8,BV11&gt;7.3),4,IF(AND(BV11&lt;=7.3),5)))))</f>
        <v>2</v>
      </c>
      <c r="BY11" s="32">
        <v>17</v>
      </c>
      <c r="BZ11" s="349">
        <v>3</v>
      </c>
      <c r="CA11" s="30">
        <f>IF(BY11=0,"",IF(BY11&lt;16,2,IF(AND(BY11&gt;=16,BY11&lt;19),3,IF(AND(BY11&gt;=19,BY11&lt;26),4,IF(AND(BY11&gt;=26),5)))))</f>
        <v>3</v>
      </c>
      <c r="CB11" s="32">
        <v>10</v>
      </c>
      <c r="CC11" s="349">
        <v>20</v>
      </c>
      <c r="CD11" s="30">
        <f>IF(CB11=0,"",IF(CB11&lt;2,2,IF(AND(CB11&gt;=2,CB11&lt;4),3,IF(AND(CB11&gt;=4,CB11&lt;7),4,IF(AND(CB11&gt;=7),5)))))</f>
        <v>5</v>
      </c>
      <c r="CE11" s="40">
        <f>SUM(BT11,BW11,BZ11,CC11)</f>
        <v>23</v>
      </c>
      <c r="CF11" s="30">
        <f>IF(CE11=0,"",IF(CE11&lt;4,2,IF(AND(CE11&gt;=4,CE11&lt;16),3,IF(AND(CE11&gt;=16,CE11&lt;30),4,IF(AND(CE11&gt;=30),5)))))</f>
        <v>4</v>
      </c>
      <c r="CG11" s="40">
        <f>SUM(BQ11,CE11)</f>
        <v>95</v>
      </c>
      <c r="CH11" s="41"/>
      <c r="CI11" s="32" t="s">
        <v>155</v>
      </c>
    </row>
    <row r="12" spans="1:87">
      <c r="A12" s="3"/>
      <c r="B12" s="34" t="s">
        <v>156</v>
      </c>
      <c r="C12" s="100">
        <v>34555</v>
      </c>
      <c r="D12" s="113" t="s">
        <v>77</v>
      </c>
      <c r="E12" s="32">
        <v>168</v>
      </c>
      <c r="F12" s="3">
        <v>55</v>
      </c>
      <c r="G12" s="32">
        <v>72</v>
      </c>
      <c r="H12" s="32">
        <v>1.091</v>
      </c>
      <c r="I12" s="137">
        <f>F12/(E12/100)^2</f>
        <v>19.486961451247168</v>
      </c>
      <c r="J12" s="43" t="s">
        <v>26</v>
      </c>
      <c r="K12" s="32">
        <f>((E12-F12)*E12)/(H12*2*G12)</f>
        <v>120.83715245951727</v>
      </c>
      <c r="L12" s="34" t="s">
        <v>156</v>
      </c>
      <c r="M12" s="32"/>
      <c r="N12" s="40"/>
      <c r="O12" s="30" t="str">
        <f>IF(M12=0,"",IF(M12&lt;150,2,IF(AND(M12&gt;=150,M12&lt;158),3,IF(AND(M12&gt;=158,M12&lt;165),4,IF(AND(M12&gt;=165),5)))))</f>
        <v/>
      </c>
      <c r="P12" s="32"/>
      <c r="Q12" s="40"/>
      <c r="R12" s="30" t="str">
        <f>IF(P12=0,"",IF(P12&gt;6.1,2,IF(AND(P12&lt;=6.1,P12&gt;5.8),3,IF(AND(P12&lt;=5.8,P12&gt;5.5),4,IF(AND(P12&lt;=5.5),5)))))</f>
        <v/>
      </c>
      <c r="S12" s="32"/>
      <c r="T12" s="40"/>
      <c r="U12" s="30" t="str">
        <f>IF(S12=0,"",IF(S12&gt;11.5,2,IF(AND(S12&lt;=11.5,S12&gt;11),3,IF(AND(S12&lt;=11,S12&gt;10.8),4,IF(AND(S12&lt;=10.8),5)))))</f>
        <v/>
      </c>
      <c r="V12" s="32"/>
      <c r="W12" s="40"/>
      <c r="X12" s="30" t="str">
        <f>IF(V12=0,"",IF(V12&lt;1000,2,IF(AND(V12&gt;=1000,V12&lt;1110),3,IF(AND(V12&gt;=1110,V12&lt;1200),4,IF(AND(V12&gt;=1200),5)))))</f>
        <v/>
      </c>
      <c r="Y12" s="40">
        <f>SUM(N12,Q12,T12,W12)</f>
        <v>0</v>
      </c>
      <c r="Z12" s="30" t="s">
        <v>96</v>
      </c>
      <c r="AA12" s="41"/>
      <c r="AB12" s="34" t="s">
        <v>156</v>
      </c>
      <c r="AC12" s="32"/>
      <c r="AD12" s="40"/>
      <c r="AE12" s="30" t="str">
        <f>IF(AC12=0,"",IF(AC12&lt;25,2,IF(AND(AC12&gt;=25,AC12&lt;30),3,IF(AND(AC12&gt;=30,AC12&lt;35),4,IF(AND(AC12&gt;=35),5)))))</f>
        <v/>
      </c>
      <c r="AF12" s="32"/>
      <c r="AG12" s="40"/>
      <c r="AH12" s="30" t="str">
        <f>IF(AF12=0,"",IF(AF12&lt;9,2,IF(AND(AF12&gt;=9,AF12&lt;10),3,IF(AND(AF12&gt;=10,AF12&lt;13),4,IF(AND(AF12&gt;=13),5)))))</f>
        <v/>
      </c>
      <c r="AI12" s="32"/>
      <c r="AJ12" s="40"/>
      <c r="AK12" s="30" t="str">
        <f>IF(AI12=0,"",IF(AI12&lt;45,2,IF(AND(AI12&gt;=45,AI12&lt;70),3,IF(AND(AI12&gt;=70,AI12&lt;110),4,IF(AND(AI12&gt;=110),5)))))</f>
        <v/>
      </c>
      <c r="AL12" s="32"/>
      <c r="AM12" s="40"/>
      <c r="AN12" s="30" t="str">
        <f>IF(AL12=0,"",IF(AL12&lt;9,2,IF(AND(AL12&gt;=9,AL12&lt;10),3,IF(AND(AL12&gt;=10,AL12&lt;13),4,IF(AND(AL12&gt;=13),5)))))</f>
        <v/>
      </c>
      <c r="AO12" s="32"/>
      <c r="AP12" s="40"/>
      <c r="AQ12" s="30" t="str">
        <f>IF(AO12=0,"",IF(AO12&lt;1,2,IF(AND(AO12&gt;=1,AO12&lt;5),3,IF(AND(AO12&gt;=5,AO12&lt;10),4,IF(AND(AO12&gt;=10),5)))))</f>
        <v/>
      </c>
      <c r="AR12" s="32"/>
      <c r="AS12" s="40"/>
      <c r="AT12" s="30" t="str">
        <f>IF(AR12=0,"",IF(AR12&lt;1,2,IF(AND(AR12&gt;=1,AR12&lt;5),3,IF(AND(AR12&gt;=5,AR12&lt;10),4,IF(AND(AR12&gt;=10),5)))))</f>
        <v/>
      </c>
      <c r="AU12" s="40">
        <f>SUM(AD12,AG12,AJ12,AM12,AP12,AS12)</f>
        <v>0</v>
      </c>
      <c r="AV12" s="30" t="s">
        <v>96</v>
      </c>
      <c r="AW12" s="40">
        <f>SUM(Y12,AU12)</f>
        <v>0</v>
      </c>
      <c r="AX12" s="41"/>
      <c r="AY12" s="34" t="s">
        <v>156</v>
      </c>
      <c r="AZ12" s="32"/>
      <c r="BA12" s="349"/>
      <c r="BB12" s="30" t="str">
        <f>IF(AZ12=0,"",IF(AZ12&gt;7.3,2,IF(AND(AZ12&lt;=7.3,AZ12&gt;6.45),3,IF(AND(AZ12&lt;=6.45,AZ12&gt;6.15),4,IF(AND(AZ12&lt;=6.15),5)))))</f>
        <v/>
      </c>
      <c r="BC12" s="32"/>
      <c r="BD12" s="349"/>
      <c r="BE12" s="30" t="str">
        <f>IF(BC12=0,"",IF(BC12&gt;15,2,IF(AND(BC12&lt;=15,BC12&gt;14.3),3,IF(AND(BC12&lt;=14.3,BC12&gt;14),4,IF(AND(BC12&lt;=14),5)))))</f>
        <v/>
      </c>
      <c r="BF12" s="32"/>
      <c r="BG12" s="349"/>
      <c r="BH12" s="30" t="str">
        <f t="shared" si="0"/>
        <v/>
      </c>
      <c r="BI12" s="32"/>
      <c r="BJ12" s="349"/>
      <c r="BK12" s="30" t="str">
        <f t="shared" si="1"/>
        <v/>
      </c>
      <c r="BL12" s="32"/>
      <c r="BM12" s="349"/>
      <c r="BN12" s="30" t="str">
        <f t="shared" si="2"/>
        <v/>
      </c>
      <c r="BO12" s="40">
        <f>SUM(BA12,BD12,BG12,BJ12,BM12)</f>
        <v>0</v>
      </c>
      <c r="BP12" s="30" t="s">
        <v>96</v>
      </c>
      <c r="BQ12" s="40">
        <f>SUM(AW12,BO12)</f>
        <v>0</v>
      </c>
      <c r="BR12" s="41"/>
      <c r="BS12" s="32"/>
      <c r="BT12" s="349"/>
      <c r="BU12" s="30" t="str">
        <f>IF(BS12=0,"",IF(BS12&gt;11,2,IF(AND(BS12&lt;=11,BS12&gt;10.4),3,IF(AND(BS12&lt;=10.4,BS12&gt;10.2),4,IF(AND(BS12&lt;=10.2),5)))))</f>
        <v/>
      </c>
      <c r="BV12" s="32"/>
      <c r="BW12" s="349"/>
      <c r="BX12" s="30" t="str">
        <f>IF(BV12=0,"",IF(BV12&gt;8.3,2,IF(AND(BV12&lt;=8.3,BV12&gt;8),3,IF(AND(BV12&lt;=8,BV12&gt;7.3),4,IF(AND(BV12&lt;=7.3),5)))))</f>
        <v/>
      </c>
      <c r="BY12" s="32"/>
      <c r="BZ12" s="349"/>
      <c r="CA12" s="30" t="str">
        <f>IF(BY12=0,"",IF(BY12&lt;16,2,IF(AND(BY12&gt;=16,BY12&lt;19),3,IF(AND(BY12&gt;=19,BY12&lt;26),4,IF(AND(BY12&gt;=26),5)))))</f>
        <v/>
      </c>
      <c r="CB12" s="32"/>
      <c r="CC12" s="349"/>
      <c r="CD12" s="30" t="str">
        <f>IF(CB12=0,"",IF(CB12&lt;2,2,IF(AND(CB12&gt;=2,CB12&lt;4),3,IF(AND(CB12&gt;=4,CB12&lt;7),4,IF(AND(CB12&gt;=7),5)))))</f>
        <v/>
      </c>
      <c r="CE12" s="40">
        <f>SUM(BT12,BW12,BZ12,CC12)</f>
        <v>0</v>
      </c>
      <c r="CF12" s="30" t="s">
        <v>96</v>
      </c>
      <c r="CG12" s="40">
        <f>SUM(BQ12,CE12)</f>
        <v>0</v>
      </c>
      <c r="CH12" s="41"/>
      <c r="CI12" s="34" t="s">
        <v>156</v>
      </c>
    </row>
    <row r="13" spans="1:87">
      <c r="A13" s="3"/>
      <c r="B13" s="32" t="s">
        <v>157</v>
      </c>
      <c r="C13" s="48">
        <v>34770</v>
      </c>
      <c r="D13" s="113" t="s">
        <v>77</v>
      </c>
      <c r="E13" s="32">
        <v>159</v>
      </c>
      <c r="F13" s="3">
        <v>61</v>
      </c>
      <c r="G13" s="32">
        <v>78</v>
      </c>
      <c r="H13" s="32">
        <v>1.121</v>
      </c>
      <c r="I13" s="137">
        <f>F13/(E13/100)^2</f>
        <v>24.128792373719392</v>
      </c>
      <c r="J13" s="43" t="s">
        <v>21</v>
      </c>
      <c r="K13" s="32">
        <f>((E13-F13)*E13)/(H13*2*G13)</f>
        <v>89.103135936320584</v>
      </c>
      <c r="L13" s="32" t="s">
        <v>157</v>
      </c>
      <c r="M13" s="32"/>
      <c r="N13" s="40"/>
      <c r="O13" s="30" t="str">
        <f>IF(M13=0,"",IF(M13&lt;150,2,IF(AND(M13&gt;=150,M13&lt;158),3,IF(AND(M13&gt;=158,M13&lt;165),4,IF(AND(M13&gt;=165),5)))))</f>
        <v/>
      </c>
      <c r="P13" s="32"/>
      <c r="Q13" s="40"/>
      <c r="R13" s="30" t="str">
        <f>IF(P13=0,"",IF(P13&gt;6.1,2,IF(AND(P13&lt;=6.1,P13&gt;5.8),3,IF(AND(P13&lt;=5.8,P13&gt;5.5),4,IF(AND(P13&lt;=5.5),5)))))</f>
        <v/>
      </c>
      <c r="S13" s="32"/>
      <c r="T13" s="40"/>
      <c r="U13" s="30" t="str">
        <f>IF(S13=0,"",IF(S13&gt;11.5,2,IF(AND(S13&lt;=11.5,S13&gt;11),3,IF(AND(S13&lt;=11,S13&gt;10.8),4,IF(AND(S13&lt;=10.8),5)))))</f>
        <v/>
      </c>
      <c r="V13" s="32"/>
      <c r="W13" s="40"/>
      <c r="X13" s="30" t="str">
        <f>IF(V13=0,"",IF(V13&lt;1000,2,IF(AND(V13&gt;=1000,V13&lt;1110),3,IF(AND(V13&gt;=1110,V13&lt;1200),4,IF(AND(V13&gt;=1200),5)))))</f>
        <v/>
      </c>
      <c r="Y13" s="40">
        <f>SUM(N13,Q13,T13,W13)</f>
        <v>0</v>
      </c>
      <c r="Z13" s="30" t="s">
        <v>96</v>
      </c>
      <c r="AA13" s="41"/>
      <c r="AB13" s="32" t="s">
        <v>157</v>
      </c>
      <c r="AC13" s="32"/>
      <c r="AD13" s="40"/>
      <c r="AE13" s="30" t="str">
        <f>IF(AC13=0,"",IF(AC13&lt;25,2,IF(AND(AC13&gt;=25,AC13&lt;30),3,IF(AND(AC13&gt;=30,AC13&lt;35),4,IF(AND(AC13&gt;=35),5)))))</f>
        <v/>
      </c>
      <c r="AF13" s="32"/>
      <c r="AG13" s="40"/>
      <c r="AH13" s="30" t="str">
        <f>IF(AF13=0,"",IF(AF13&lt;9,2,IF(AND(AF13&gt;=9,AF13&lt;10),3,IF(AND(AF13&gt;=10,AF13&lt;13),4,IF(AND(AF13&gt;=13),5)))))</f>
        <v/>
      </c>
      <c r="AI13" s="32"/>
      <c r="AJ13" s="40"/>
      <c r="AK13" s="30" t="str">
        <f>IF(AI13=0,"",IF(AI13&lt;45,2,IF(AND(AI13&gt;=45,AI13&lt;70),3,IF(AND(AI13&gt;=70,AI13&lt;110),4,IF(AND(AI13&gt;=110),5)))))</f>
        <v/>
      </c>
      <c r="AL13" s="32"/>
      <c r="AM13" s="40"/>
      <c r="AN13" s="30" t="str">
        <f>IF(AL13=0,"",IF(AL13&lt;9,2,IF(AND(AL13&gt;=9,AL13&lt;10),3,IF(AND(AL13&gt;=10,AL13&lt;13),4,IF(AND(AL13&gt;=13),5)))))</f>
        <v/>
      </c>
      <c r="AO13" s="32"/>
      <c r="AP13" s="40"/>
      <c r="AQ13" s="30" t="str">
        <f>IF(AO13=0,"",IF(AO13&lt;1,2,IF(AND(AO13&gt;=1,AO13&lt;5),3,IF(AND(AO13&gt;=5,AO13&lt;10),4,IF(AND(AO13&gt;=10),5)))))</f>
        <v/>
      </c>
      <c r="AR13" s="32"/>
      <c r="AS13" s="40"/>
      <c r="AT13" s="30" t="str">
        <f>IF(AR13=0,"",IF(AR13&lt;1,2,IF(AND(AR13&gt;=1,AR13&lt;5),3,IF(AND(AR13&gt;=5,AR13&lt;10),4,IF(AND(AR13&gt;=10),5)))))</f>
        <v/>
      </c>
      <c r="AU13" s="40">
        <f>SUM(AD13,AG13,AJ13,AM13,AP13,AS13)</f>
        <v>0</v>
      </c>
      <c r="AV13" s="30" t="s">
        <v>96</v>
      </c>
      <c r="AW13" s="40">
        <f>SUM(Y13,AU13)</f>
        <v>0</v>
      </c>
      <c r="AX13" s="41"/>
      <c r="AY13" s="32" t="s">
        <v>157</v>
      </c>
      <c r="AZ13" s="32"/>
      <c r="BA13" s="349"/>
      <c r="BB13" s="30" t="str">
        <f>IF(AZ13=0,"",IF(AZ13&gt;7.3,2,IF(AND(AZ13&lt;=7.3,AZ13&gt;6.45),3,IF(AND(AZ13&lt;=6.45,AZ13&gt;6.15),4,IF(AND(AZ13&lt;=6.15),5)))))</f>
        <v/>
      </c>
      <c r="BC13" s="32"/>
      <c r="BD13" s="349"/>
      <c r="BE13" s="30" t="str">
        <f>IF(BC13=0,"",IF(BC13&gt;15,2,IF(AND(BC13&lt;=15,BC13&gt;14.3),3,IF(AND(BC13&lt;=14.3,BC13&gt;14),4,IF(AND(BC13&lt;=14),5)))))</f>
        <v/>
      </c>
      <c r="BF13" s="32"/>
      <c r="BG13" s="349"/>
      <c r="BH13" s="30" t="str">
        <f t="shared" si="0"/>
        <v/>
      </c>
      <c r="BI13" s="32"/>
      <c r="BJ13" s="349"/>
      <c r="BK13" s="30" t="str">
        <f t="shared" si="1"/>
        <v/>
      </c>
      <c r="BL13" s="32"/>
      <c r="BM13" s="349"/>
      <c r="BN13" s="30" t="str">
        <f t="shared" si="2"/>
        <v/>
      </c>
      <c r="BO13" s="40">
        <f>SUM(BA13,BD13,BG13,BJ13,BM13)</f>
        <v>0</v>
      </c>
      <c r="BP13" s="30" t="s">
        <v>96</v>
      </c>
      <c r="BQ13" s="40">
        <f>SUM(AW13,BO13)</f>
        <v>0</v>
      </c>
      <c r="BR13" s="41"/>
      <c r="BS13" s="32"/>
      <c r="BT13" s="349"/>
      <c r="BU13" s="30" t="str">
        <f>IF(BS13=0,"",IF(BS13&gt;11,2,IF(AND(BS13&lt;=11,BS13&gt;10.4),3,IF(AND(BS13&lt;=10.4,BS13&gt;10.2),4,IF(AND(BS13&lt;=10.2),5)))))</f>
        <v/>
      </c>
      <c r="BV13" s="32"/>
      <c r="BW13" s="349"/>
      <c r="BX13" s="30" t="str">
        <f>IF(BV13=0,"",IF(BV13&gt;8.3,2,IF(AND(BV13&lt;=8.3,BV13&gt;8),3,IF(AND(BV13&lt;=8,BV13&gt;7.3),4,IF(AND(BV13&lt;=7.3),5)))))</f>
        <v/>
      </c>
      <c r="BY13" s="32"/>
      <c r="BZ13" s="349"/>
      <c r="CA13" s="30" t="str">
        <f>IF(BY13=0,"",IF(BY13&lt;16,2,IF(AND(BY13&gt;=16,BY13&lt;19),3,IF(AND(BY13&gt;=19,BY13&lt;26),4,IF(AND(BY13&gt;=26),5)))))</f>
        <v/>
      </c>
      <c r="CB13" s="32"/>
      <c r="CC13" s="349"/>
      <c r="CD13" s="30" t="str">
        <f>IF(CB13=0,"",IF(CB13&lt;2,2,IF(AND(CB13&gt;=2,CB13&lt;4),3,IF(AND(CB13&gt;=4,CB13&lt;7),4,IF(AND(CB13&gt;=7),5)))))</f>
        <v/>
      </c>
      <c r="CE13" s="40">
        <f>SUM(BT13,BW13,BZ13,CC13)</f>
        <v>0</v>
      </c>
      <c r="CF13" s="30" t="s">
        <v>96</v>
      </c>
      <c r="CG13" s="40">
        <f>SUM(BQ13,CE13)</f>
        <v>0</v>
      </c>
      <c r="CH13" s="41"/>
      <c r="CI13" s="32" t="s">
        <v>157</v>
      </c>
    </row>
    <row r="14" spans="1:87">
      <c r="A14" s="315"/>
      <c r="B14" s="333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138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30" t="str">
        <f t="shared" si="0"/>
        <v/>
      </c>
      <c r="BI14" s="138"/>
      <c r="BJ14" s="138"/>
      <c r="BK14" s="30" t="str">
        <f t="shared" si="1"/>
        <v/>
      </c>
      <c r="BL14" s="138"/>
      <c r="BM14" s="138"/>
      <c r="BN14" s="30" t="str">
        <f t="shared" si="2"/>
        <v/>
      </c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138"/>
      <c r="CE14" s="138"/>
      <c r="CF14" s="138"/>
      <c r="CG14" s="138"/>
      <c r="CH14" s="138"/>
      <c r="CI14" s="138"/>
    </row>
    <row r="15" spans="1:87">
      <c r="A15" s="315"/>
      <c r="B15" s="316"/>
      <c r="C15" s="227" t="s">
        <v>19</v>
      </c>
      <c r="D15" s="248">
        <f>COUNTIF(D3:D13,"осн.")</f>
        <v>6</v>
      </c>
      <c r="E15" s="249"/>
      <c r="F15" s="217"/>
      <c r="G15" s="217"/>
      <c r="H15" s="217"/>
      <c r="I15" s="217"/>
      <c r="J15" s="217"/>
      <c r="K15" s="228"/>
      <c r="L15" s="106" t="s">
        <v>18</v>
      </c>
      <c r="M15" s="32"/>
      <c r="N15" s="32"/>
      <c r="O15" s="30">
        <f>AVERAGE(O3:O13)</f>
        <v>4.125</v>
      </c>
      <c r="P15" s="32"/>
      <c r="Q15" s="32"/>
      <c r="R15" s="30">
        <f>AVERAGE(R3:R13)</f>
        <v>5</v>
      </c>
      <c r="S15" s="82"/>
      <c r="T15" s="82"/>
      <c r="U15" s="30">
        <f>AVERAGE(U3:U13)</f>
        <v>4.25</v>
      </c>
      <c r="V15" s="32"/>
      <c r="W15" s="32"/>
      <c r="X15" s="30">
        <f>AVERAGE(X3:X13)</f>
        <v>4.875</v>
      </c>
      <c r="Y15" s="32"/>
      <c r="Z15" s="30">
        <f>AVERAGE(O15:X15)</f>
        <v>4.5625</v>
      </c>
      <c r="AA15" s="30"/>
      <c r="AB15" s="32" t="s">
        <v>18</v>
      </c>
      <c r="AC15" s="32"/>
      <c r="AD15" s="32"/>
      <c r="AE15" s="30">
        <f>AVERAGE(AE3:AE13)</f>
        <v>4.125</v>
      </c>
      <c r="AF15" s="32"/>
      <c r="AG15" s="32"/>
      <c r="AH15" s="30">
        <f>AVERAGE(AH3:AH13)</f>
        <v>3.625</v>
      </c>
      <c r="AI15" s="32"/>
      <c r="AJ15" s="32"/>
      <c r="AK15" s="30">
        <f>AVERAGE(AK3:AK13)</f>
        <v>4.625</v>
      </c>
      <c r="AL15" s="32"/>
      <c r="AM15" s="32"/>
      <c r="AN15" s="30">
        <f>AVERAGE(AN3:AN13)</f>
        <v>3.875</v>
      </c>
      <c r="AO15" s="32"/>
      <c r="AP15" s="32"/>
      <c r="AQ15" s="30">
        <f>AVERAGE(AQ3:AQ13)</f>
        <v>4.5</v>
      </c>
      <c r="AR15" s="32"/>
      <c r="AS15" s="32"/>
      <c r="AT15" s="30">
        <f>AVERAGE(AT3:AT13)</f>
        <v>4.5714285714285712</v>
      </c>
      <c r="AU15" s="32"/>
      <c r="AV15" s="30">
        <f>AVERAGE(AE15:AT15)</f>
        <v>4.2202380952380949</v>
      </c>
      <c r="AW15" s="32"/>
      <c r="AX15" s="32"/>
      <c r="AY15" s="32" t="s">
        <v>18</v>
      </c>
      <c r="AZ15" s="32"/>
      <c r="BA15" s="32"/>
      <c r="BB15" s="30">
        <f>AVERAGE(BB9:BB14)</f>
        <v>4.333333333333333</v>
      </c>
      <c r="BC15" s="32"/>
      <c r="BD15" s="32"/>
      <c r="BE15" s="30">
        <f>AVERAGE(BE3:BE13)</f>
        <v>4</v>
      </c>
      <c r="BF15" s="32"/>
      <c r="BG15" s="32"/>
      <c r="BH15" s="30">
        <f>AVERAGE(BH3:BH13)</f>
        <v>4.375</v>
      </c>
      <c r="BI15" s="32"/>
      <c r="BJ15" s="32"/>
      <c r="BK15" s="30">
        <f>AVERAGE(BK3:BK13)</f>
        <v>4.625</v>
      </c>
      <c r="BL15" s="32"/>
      <c r="BM15" s="32"/>
      <c r="BN15" s="30">
        <f>AVERAGE(BN3:BN13)</f>
        <v>4.4285714285714288</v>
      </c>
      <c r="BO15" s="32"/>
      <c r="BP15" s="30">
        <f>AVERAGE(BB15:BN15)</f>
        <v>4.352380952380952</v>
      </c>
      <c r="BQ15" s="32"/>
      <c r="BR15" s="32"/>
      <c r="BS15" s="32"/>
      <c r="BT15" s="32"/>
      <c r="BU15" s="30">
        <f>AVERAGE(BU3:BU13)</f>
        <v>4.5</v>
      </c>
      <c r="BV15" s="32"/>
      <c r="BW15" s="32"/>
      <c r="BX15" s="30">
        <f>AVERAGE(BX3:BX13)</f>
        <v>4.25</v>
      </c>
      <c r="BY15" s="32"/>
      <c r="BZ15" s="32"/>
      <c r="CA15" s="30">
        <f>AVERAGE(CA3:CA13)</f>
        <v>4.375</v>
      </c>
      <c r="CB15" s="32"/>
      <c r="CC15" s="32"/>
      <c r="CD15" s="30">
        <f>AVERAGE(CD3:CD13)</f>
        <v>5</v>
      </c>
      <c r="CE15" s="32"/>
      <c r="CF15" s="30">
        <f>AVERAGE(BU15:CD15)</f>
        <v>4.53125</v>
      </c>
      <c r="CG15" s="30">
        <f>AVERAGE(Z15,AV15,BP15,CF15)</f>
        <v>4.4165922619047615</v>
      </c>
      <c r="CH15" s="30"/>
      <c r="CI15" s="32" t="s">
        <v>18</v>
      </c>
    </row>
    <row r="16" spans="1:87">
      <c r="A16" s="315"/>
      <c r="B16" s="315"/>
      <c r="Y16" s="27" t="s">
        <v>17</v>
      </c>
      <c r="Z16" s="27"/>
    </row>
    <row r="17" spans="1:86">
      <c r="A17" s="315"/>
      <c r="B17" s="319" t="s">
        <v>16</v>
      </c>
      <c r="C17" s="26"/>
      <c r="D17" s="26"/>
      <c r="Y17" s="25" t="s">
        <v>15</v>
      </c>
      <c r="Z17" s="24">
        <v>10</v>
      </c>
      <c r="AU17" s="24" t="s">
        <v>15</v>
      </c>
      <c r="AV17" s="24">
        <v>10</v>
      </c>
      <c r="BO17" s="24" t="s">
        <v>15</v>
      </c>
      <c r="BP17" s="24">
        <v>10</v>
      </c>
      <c r="CE17" s="24" t="s">
        <v>15</v>
      </c>
      <c r="CF17" s="24">
        <v>10</v>
      </c>
    </row>
    <row r="18" spans="1:86">
      <c r="A18" s="315"/>
      <c r="B18" s="321"/>
      <c r="C18" s="23"/>
      <c r="Y18" s="22" t="s">
        <v>133</v>
      </c>
      <c r="Z18" s="13">
        <f>COUNTIF(Z3:Z13,5)</f>
        <v>7</v>
      </c>
      <c r="AU18" s="128" t="s">
        <v>134</v>
      </c>
      <c r="AV18" s="13">
        <f>COUNTIF(AV3:AV13,5)</f>
        <v>5</v>
      </c>
      <c r="AY18" s="92"/>
      <c r="BO18" s="128" t="s">
        <v>134</v>
      </c>
      <c r="BP18" s="13">
        <f>COUNTIF(BP3:BP13,5)</f>
        <v>4</v>
      </c>
      <c r="CE18" s="128" t="s">
        <v>134</v>
      </c>
      <c r="CF18" s="13">
        <f>COUNTIF(CF3:CF13,5)</f>
        <v>7</v>
      </c>
    </row>
    <row r="19" spans="1:86">
      <c r="A19" s="315"/>
      <c r="B19" s="326" t="s">
        <v>13</v>
      </c>
      <c r="C19" s="20">
        <v>10</v>
      </c>
      <c r="D19" s="19" t="s">
        <v>4</v>
      </c>
      <c r="Y19" s="18" t="s">
        <v>12</v>
      </c>
      <c r="Z19" s="13">
        <f>COUNTIF(Z3:Z13,4)</f>
        <v>1</v>
      </c>
      <c r="AU19" s="129" t="s">
        <v>12</v>
      </c>
      <c r="AV19" s="13">
        <f>COUNTIF(AV3:AV13,4)</f>
        <v>3</v>
      </c>
      <c r="AY19" s="92"/>
      <c r="BO19" s="129" t="s">
        <v>12</v>
      </c>
      <c r="BP19" s="13">
        <f>COUNTIF(BP3:BP13,4)</f>
        <v>4</v>
      </c>
      <c r="CE19" s="129" t="s">
        <v>12</v>
      </c>
      <c r="CF19" s="13">
        <f>COUNTIF(CF3:CF13,4)</f>
        <v>1</v>
      </c>
    </row>
    <row r="20" spans="1:86">
      <c r="A20" s="315"/>
      <c r="B20" s="327" t="s">
        <v>11</v>
      </c>
      <c r="C20" s="2">
        <f>COUNTIF(J3:J13,"деф.массы")</f>
        <v>4</v>
      </c>
      <c r="D20" s="2">
        <f>C20*100/C19</f>
        <v>40</v>
      </c>
      <c r="Y20" s="16" t="s">
        <v>10</v>
      </c>
      <c r="Z20" s="13">
        <f>COUNTIF(Z3:Z13,3)</f>
        <v>0</v>
      </c>
      <c r="AU20" s="130" t="s">
        <v>135</v>
      </c>
      <c r="AV20" s="13">
        <f>COUNTIF(AV3:AV13,3)</f>
        <v>0</v>
      </c>
      <c r="AY20" s="92"/>
      <c r="BO20" s="130" t="s">
        <v>135</v>
      </c>
      <c r="BP20" s="13">
        <f>COUNTIF(BP3:BP13,3)</f>
        <v>0</v>
      </c>
      <c r="CE20" s="130" t="s">
        <v>135</v>
      </c>
      <c r="CF20" s="13">
        <f>COUNTIF(CF3:CF13,3)</f>
        <v>0</v>
      </c>
    </row>
    <row r="21" spans="1:86">
      <c r="A21" s="315"/>
      <c r="B21" s="328" t="s">
        <v>9</v>
      </c>
      <c r="C21" s="2">
        <f>COUNTIF(J3:J13,"гарм.(-)")</f>
        <v>2</v>
      </c>
      <c r="D21" s="359">
        <f>(C21+C22+C23)*100/C19</f>
        <v>50</v>
      </c>
      <c r="Y21" s="14" t="s">
        <v>8</v>
      </c>
      <c r="Z21" s="13">
        <f>COUNTIF(Z3:Z13,2)</f>
        <v>0</v>
      </c>
      <c r="AU21" s="131" t="s">
        <v>136</v>
      </c>
      <c r="AV21" s="13">
        <f>COUNTIF(AV3:AV13,2)</f>
        <v>0</v>
      </c>
      <c r="AY21" s="92"/>
      <c r="BO21" s="131" t="s">
        <v>136</v>
      </c>
      <c r="BP21" s="13">
        <f>COUNTIF(BP3:BP13,2)</f>
        <v>0</v>
      </c>
      <c r="CE21" s="131" t="s">
        <v>136</v>
      </c>
      <c r="CF21" s="13">
        <f>COUNTIF(CF3:CF13,2)</f>
        <v>0</v>
      </c>
    </row>
    <row r="22" spans="1:86">
      <c r="A22" s="315"/>
      <c r="B22" s="329" t="s">
        <v>7</v>
      </c>
      <c r="C22" s="2">
        <f>COUNTIF(J3:J13,"гармонич.")</f>
        <v>3</v>
      </c>
      <c r="D22" s="360"/>
      <c r="Y22" s="11" t="s">
        <v>6</v>
      </c>
      <c r="Z22" s="10">
        <f>COUNTIF(Z3:Z13,"осв.")</f>
        <v>2</v>
      </c>
      <c r="AU22" s="10" t="s">
        <v>96</v>
      </c>
      <c r="AV22" s="10">
        <f>COUNTIF(AV3:AV13,"осв.")</f>
        <v>2</v>
      </c>
      <c r="AY22" s="92"/>
      <c r="BO22" s="10" t="s">
        <v>96</v>
      </c>
      <c r="BP22" s="10">
        <f>COUNTIF(BP3:BP13,"осв.")</f>
        <v>2</v>
      </c>
      <c r="CE22" s="10" t="s">
        <v>96</v>
      </c>
      <c r="CF22" s="10">
        <f>COUNTIF(CF3:CF13,"осв.")</f>
        <v>2</v>
      </c>
    </row>
    <row r="23" spans="1:86">
      <c r="A23" s="315"/>
      <c r="B23" s="330" t="s">
        <v>5</v>
      </c>
      <c r="C23" s="2">
        <f>COUNTIF(J3:J13,"гарм.(+)")</f>
        <v>0</v>
      </c>
      <c r="D23" s="361"/>
      <c r="Y23" s="8"/>
      <c r="Z23" s="7" t="s">
        <v>4</v>
      </c>
      <c r="AU23" s="142"/>
      <c r="AV23" s="7" t="s">
        <v>4</v>
      </c>
      <c r="AY23" s="92"/>
      <c r="BO23" s="142"/>
      <c r="BP23" s="7" t="s">
        <v>4</v>
      </c>
      <c r="CE23" s="142"/>
      <c r="CF23" s="7" t="s">
        <v>4</v>
      </c>
    </row>
    <row r="24" spans="1:86">
      <c r="A24" s="315"/>
      <c r="B24" s="331" t="s">
        <v>3</v>
      </c>
      <c r="C24" s="2">
        <f>COUNTIF(J3:J13,"тучное")</f>
        <v>1</v>
      </c>
      <c r="D24" s="2">
        <f>C24*100/C19</f>
        <v>10</v>
      </c>
      <c r="Y24" s="3" t="s">
        <v>2</v>
      </c>
      <c r="Z24" s="2">
        <f>AA24*100/Z17</f>
        <v>40</v>
      </c>
      <c r="AA24" s="5">
        <v>4</v>
      </c>
      <c r="AB24" s="4"/>
      <c r="AU24" s="10" t="s">
        <v>2</v>
      </c>
      <c r="AV24" s="2">
        <f>AX24*100/AV17</f>
        <v>0</v>
      </c>
      <c r="AX24" s="5">
        <f>COUNTIF(AX3:AX13,5)</f>
        <v>0</v>
      </c>
      <c r="AY24" s="92"/>
      <c r="BO24" s="10" t="s">
        <v>2</v>
      </c>
      <c r="BP24" s="133">
        <f>BR24*100/BP17</f>
        <v>10</v>
      </c>
      <c r="BQ24" s="237"/>
      <c r="BR24" s="132">
        <v>1</v>
      </c>
      <c r="CE24" s="10" t="s">
        <v>2</v>
      </c>
      <c r="CF24" s="2">
        <f>CH24*100/CF17</f>
        <v>40</v>
      </c>
      <c r="CH24" s="5">
        <v>4</v>
      </c>
    </row>
    <row r="25" spans="1:86">
      <c r="A25" s="315"/>
      <c r="B25" s="323"/>
      <c r="C25" s="315"/>
      <c r="D25" s="315"/>
      <c r="Y25" s="3" t="s">
        <v>1</v>
      </c>
      <c r="Z25" s="2">
        <f>(Z18+Z19-Z20-Z21+Z22)*100/Z17</f>
        <v>100</v>
      </c>
      <c r="AU25" s="10" t="s">
        <v>1</v>
      </c>
      <c r="AV25" s="2">
        <f>(AV18+AV19-AV20-AV21+AV22)*100/AV17</f>
        <v>100</v>
      </c>
      <c r="AY25" s="92"/>
      <c r="BO25" s="10" t="s">
        <v>1</v>
      </c>
      <c r="BP25" s="2">
        <f>(BP18+BP19-BP20-BP21+BP22)*100/BP17</f>
        <v>100</v>
      </c>
      <c r="CE25" s="10" t="s">
        <v>1</v>
      </c>
      <c r="CF25" s="2">
        <f>(CF18+CF19+CF22)/CF17*100</f>
        <v>100</v>
      </c>
    </row>
    <row r="26" spans="1:86">
      <c r="A26" s="315"/>
      <c r="B26" s="323"/>
      <c r="C26" s="315"/>
      <c r="D26" s="315"/>
      <c r="Y26" s="3" t="s">
        <v>0</v>
      </c>
      <c r="Z26" s="2">
        <f>(Z18+Z19+Z20-Z21+Z22)*100/Z17</f>
        <v>100</v>
      </c>
      <c r="AU26" s="10" t="s">
        <v>0</v>
      </c>
      <c r="AV26" s="2">
        <f>(AV18+AV19+AV20-AV21+AV22)*100/AV17</f>
        <v>100</v>
      </c>
      <c r="AY26" s="92"/>
      <c r="BO26" s="10" t="s">
        <v>0</v>
      </c>
      <c r="BP26" s="2">
        <f>(BP18+BP19+BP20-BP21+BP22)*100/BP17</f>
        <v>100</v>
      </c>
      <c r="CE26" s="10" t="s">
        <v>0</v>
      </c>
      <c r="CF26" s="2">
        <f>(CF18+CF19+CF20-CF21+CF22)/CF17*100</f>
        <v>100</v>
      </c>
    </row>
    <row r="27" spans="1:86">
      <c r="AY27" s="92"/>
    </row>
    <row r="28" spans="1:86">
      <c r="AY28" s="92"/>
    </row>
    <row r="29" spans="1:86">
      <c r="AY29" s="92"/>
    </row>
    <row r="30" spans="1:86">
      <c r="AY30" s="143"/>
    </row>
    <row r="32" spans="1:86">
      <c r="AY32" s="143"/>
    </row>
    <row r="33" spans="51:51">
      <c r="AY33" s="92"/>
    </row>
    <row r="34" spans="51:51">
      <c r="AY34" s="92"/>
    </row>
    <row r="35" spans="51:51">
      <c r="AY35" s="92"/>
    </row>
    <row r="36" spans="51:51">
      <c r="AY36" s="92"/>
    </row>
    <row r="37" spans="51:51">
      <c r="AY37" s="92"/>
    </row>
    <row r="38" spans="51:51">
      <c r="AY38" s="92"/>
    </row>
    <row r="39" spans="51:51">
      <c r="AY39" s="92"/>
    </row>
    <row r="40" spans="51:51">
      <c r="AY40" s="92"/>
    </row>
    <row r="41" spans="51:51">
      <c r="AY41" s="92"/>
    </row>
    <row r="42" spans="51:51">
      <c r="AY42" s="92"/>
    </row>
    <row r="43" spans="51:51">
      <c r="AY43" s="92"/>
    </row>
    <row r="44" spans="51:51">
      <c r="AY44" s="92"/>
    </row>
    <row r="45" spans="51:51">
      <c r="AY45" s="92"/>
    </row>
    <row r="46" spans="51:51">
      <c r="AY46" s="92"/>
    </row>
    <row r="47" spans="51:51">
      <c r="AY47" s="92"/>
    </row>
    <row r="48" spans="51:51">
      <c r="AY48" s="92"/>
    </row>
  </sheetData>
  <mergeCells count="5">
    <mergeCell ref="B1:K1"/>
    <mergeCell ref="L1:AA1"/>
    <mergeCell ref="AB1:AQ1"/>
    <mergeCell ref="BS1:CI1"/>
    <mergeCell ref="D21:D23"/>
  </mergeCells>
  <printOptions gridLines="1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I58"/>
  <sheetViews>
    <sheetView workbookViewId="0">
      <selection activeCell="M23" sqref="M23"/>
    </sheetView>
  </sheetViews>
  <sheetFormatPr defaultColWidth="8.42578125" defaultRowHeight="12.75"/>
  <cols>
    <col min="1" max="1" width="10.42578125" style="1" customWidth="1"/>
    <col min="2" max="2" width="17.85546875" style="1" customWidth="1"/>
    <col min="3" max="3" width="10.5703125" style="1" customWidth="1"/>
    <col min="4" max="4" width="9.7109375" style="1" customWidth="1"/>
    <col min="5" max="9" width="8.28515625" style="1" customWidth="1"/>
    <col min="10" max="10" width="10" style="1" customWidth="1"/>
    <col min="11" max="11" width="8.28515625" style="1" customWidth="1"/>
    <col min="12" max="12" width="19.28515625" style="1" customWidth="1"/>
    <col min="13" max="13" width="6" style="1" customWidth="1"/>
    <col min="14" max="14" width="5.42578125" style="1" customWidth="1"/>
    <col min="15" max="15" width="6.5703125" style="1" customWidth="1"/>
    <col min="16" max="16" width="5.5703125" style="1" customWidth="1"/>
    <col min="17" max="17" width="5.140625" style="1" customWidth="1"/>
    <col min="18" max="18" width="7" style="1" customWidth="1"/>
    <col min="19" max="19" width="5.140625" style="1" customWidth="1"/>
    <col min="20" max="20" width="5.7109375" style="1" customWidth="1"/>
    <col min="21" max="22" width="6" style="1" customWidth="1"/>
    <col min="23" max="23" width="5" style="1" customWidth="1"/>
    <col min="24" max="24" width="6.42578125" style="1" customWidth="1"/>
    <col min="25" max="25" width="9.28515625" style="1" customWidth="1"/>
    <col min="26" max="27" width="6.85546875" style="1" customWidth="1"/>
    <col min="28" max="28" width="19" style="1" customWidth="1"/>
    <col min="29" max="46" width="5.7109375" style="1" customWidth="1"/>
    <col min="47" max="47" width="9.28515625" style="1" customWidth="1"/>
    <col min="48" max="48" width="6.7109375" style="1" customWidth="1"/>
    <col min="49" max="50" width="6.28515625" style="1" customWidth="1"/>
    <col min="51" max="51" width="19.28515625" style="1" customWidth="1"/>
    <col min="52" max="66" width="5.7109375" style="1" customWidth="1"/>
    <col min="67" max="67" width="10.140625" style="1" customWidth="1"/>
    <col min="68" max="68" width="6.5703125" style="1" customWidth="1"/>
    <col min="69" max="82" width="5.7109375" style="1" customWidth="1"/>
    <col min="83" max="83" width="10.42578125" style="1" customWidth="1"/>
    <col min="84" max="84" width="6.7109375" style="1" customWidth="1"/>
    <col min="85" max="86" width="6.140625" style="1" customWidth="1"/>
    <col min="87" max="87" width="18.85546875" style="1" customWidth="1"/>
    <col min="88" max="258" width="8.42578125" style="1"/>
    <col min="259" max="259" width="10.42578125" style="1" customWidth="1"/>
    <col min="260" max="260" width="17.85546875" style="1" customWidth="1"/>
    <col min="261" max="261" width="10.5703125" style="1" customWidth="1"/>
    <col min="262" max="262" width="9.7109375" style="1" customWidth="1"/>
    <col min="263" max="267" width="8.28515625" style="1" customWidth="1"/>
    <col min="268" max="268" width="10" style="1" customWidth="1"/>
    <col min="269" max="269" width="8.28515625" style="1" customWidth="1"/>
    <col min="270" max="270" width="19.28515625" style="1" customWidth="1"/>
    <col min="271" max="271" width="6" style="1" customWidth="1"/>
    <col min="272" max="272" width="5.42578125" style="1" customWidth="1"/>
    <col min="273" max="273" width="6.5703125" style="1" customWidth="1"/>
    <col min="274" max="274" width="5.5703125" style="1" customWidth="1"/>
    <col min="275" max="275" width="5.140625" style="1" customWidth="1"/>
    <col min="276" max="276" width="7" style="1" customWidth="1"/>
    <col min="277" max="277" width="5.140625" style="1" customWidth="1"/>
    <col min="278" max="278" width="5.7109375" style="1" customWidth="1"/>
    <col min="279" max="280" width="6" style="1" customWidth="1"/>
    <col min="281" max="281" width="5" style="1" customWidth="1"/>
    <col min="282" max="282" width="6.42578125" style="1" customWidth="1"/>
    <col min="283" max="283" width="9.28515625" style="1" customWidth="1"/>
    <col min="284" max="285" width="6.85546875" style="1" customWidth="1"/>
    <col min="286" max="286" width="19" style="1" customWidth="1"/>
    <col min="287" max="304" width="5.7109375" style="1" customWidth="1"/>
    <col min="305" max="305" width="9.28515625" style="1" customWidth="1"/>
    <col min="306" max="306" width="6.7109375" style="1" customWidth="1"/>
    <col min="307" max="308" width="6.28515625" style="1" customWidth="1"/>
    <col min="309" max="309" width="19.28515625" style="1" customWidth="1"/>
    <col min="310" max="324" width="5.7109375" style="1" customWidth="1"/>
    <col min="325" max="325" width="10.140625" style="1" customWidth="1"/>
    <col min="326" max="326" width="6.5703125" style="1" customWidth="1"/>
    <col min="327" max="339" width="5.7109375" style="1" customWidth="1"/>
    <col min="340" max="340" width="10.42578125" style="1" customWidth="1"/>
    <col min="341" max="341" width="6.7109375" style="1" customWidth="1"/>
    <col min="342" max="342" width="6.140625" style="1" customWidth="1"/>
    <col min="343" max="343" width="18.85546875" style="1" customWidth="1"/>
    <col min="344" max="514" width="8.42578125" style="1"/>
    <col min="515" max="515" width="10.42578125" style="1" customWidth="1"/>
    <col min="516" max="516" width="17.85546875" style="1" customWidth="1"/>
    <col min="517" max="517" width="10.5703125" style="1" customWidth="1"/>
    <col min="518" max="518" width="9.7109375" style="1" customWidth="1"/>
    <col min="519" max="523" width="8.28515625" style="1" customWidth="1"/>
    <col min="524" max="524" width="10" style="1" customWidth="1"/>
    <col min="525" max="525" width="8.28515625" style="1" customWidth="1"/>
    <col min="526" max="526" width="19.28515625" style="1" customWidth="1"/>
    <col min="527" max="527" width="6" style="1" customWidth="1"/>
    <col min="528" max="528" width="5.42578125" style="1" customWidth="1"/>
    <col min="529" max="529" width="6.5703125" style="1" customWidth="1"/>
    <col min="530" max="530" width="5.5703125" style="1" customWidth="1"/>
    <col min="531" max="531" width="5.140625" style="1" customWidth="1"/>
    <col min="532" max="532" width="7" style="1" customWidth="1"/>
    <col min="533" max="533" width="5.140625" style="1" customWidth="1"/>
    <col min="534" max="534" width="5.7109375" style="1" customWidth="1"/>
    <col min="535" max="536" width="6" style="1" customWidth="1"/>
    <col min="537" max="537" width="5" style="1" customWidth="1"/>
    <col min="538" max="538" width="6.42578125" style="1" customWidth="1"/>
    <col min="539" max="539" width="9.28515625" style="1" customWidth="1"/>
    <col min="540" max="541" width="6.85546875" style="1" customWidth="1"/>
    <col min="542" max="542" width="19" style="1" customWidth="1"/>
    <col min="543" max="560" width="5.7109375" style="1" customWidth="1"/>
    <col min="561" max="561" width="9.28515625" style="1" customWidth="1"/>
    <col min="562" max="562" width="6.7109375" style="1" customWidth="1"/>
    <col min="563" max="564" width="6.28515625" style="1" customWidth="1"/>
    <col min="565" max="565" width="19.28515625" style="1" customWidth="1"/>
    <col min="566" max="580" width="5.7109375" style="1" customWidth="1"/>
    <col min="581" max="581" width="10.140625" style="1" customWidth="1"/>
    <col min="582" max="582" width="6.5703125" style="1" customWidth="1"/>
    <col min="583" max="595" width="5.7109375" style="1" customWidth="1"/>
    <col min="596" max="596" width="10.42578125" style="1" customWidth="1"/>
    <col min="597" max="597" width="6.7109375" style="1" customWidth="1"/>
    <col min="598" max="598" width="6.140625" style="1" customWidth="1"/>
    <col min="599" max="599" width="18.85546875" style="1" customWidth="1"/>
    <col min="600" max="770" width="8.42578125" style="1"/>
    <col min="771" max="771" width="10.42578125" style="1" customWidth="1"/>
    <col min="772" max="772" width="17.85546875" style="1" customWidth="1"/>
    <col min="773" max="773" width="10.5703125" style="1" customWidth="1"/>
    <col min="774" max="774" width="9.7109375" style="1" customWidth="1"/>
    <col min="775" max="779" width="8.28515625" style="1" customWidth="1"/>
    <col min="780" max="780" width="10" style="1" customWidth="1"/>
    <col min="781" max="781" width="8.28515625" style="1" customWidth="1"/>
    <col min="782" max="782" width="19.28515625" style="1" customWidth="1"/>
    <col min="783" max="783" width="6" style="1" customWidth="1"/>
    <col min="784" max="784" width="5.42578125" style="1" customWidth="1"/>
    <col min="785" max="785" width="6.5703125" style="1" customWidth="1"/>
    <col min="786" max="786" width="5.5703125" style="1" customWidth="1"/>
    <col min="787" max="787" width="5.140625" style="1" customWidth="1"/>
    <col min="788" max="788" width="7" style="1" customWidth="1"/>
    <col min="789" max="789" width="5.140625" style="1" customWidth="1"/>
    <col min="790" max="790" width="5.7109375" style="1" customWidth="1"/>
    <col min="791" max="792" width="6" style="1" customWidth="1"/>
    <col min="793" max="793" width="5" style="1" customWidth="1"/>
    <col min="794" max="794" width="6.42578125" style="1" customWidth="1"/>
    <col min="795" max="795" width="9.28515625" style="1" customWidth="1"/>
    <col min="796" max="797" width="6.85546875" style="1" customWidth="1"/>
    <col min="798" max="798" width="19" style="1" customWidth="1"/>
    <col min="799" max="816" width="5.7109375" style="1" customWidth="1"/>
    <col min="817" max="817" width="9.28515625" style="1" customWidth="1"/>
    <col min="818" max="818" width="6.7109375" style="1" customWidth="1"/>
    <col min="819" max="820" width="6.28515625" style="1" customWidth="1"/>
    <col min="821" max="821" width="19.28515625" style="1" customWidth="1"/>
    <col min="822" max="836" width="5.7109375" style="1" customWidth="1"/>
    <col min="837" max="837" width="10.140625" style="1" customWidth="1"/>
    <col min="838" max="838" width="6.5703125" style="1" customWidth="1"/>
    <col min="839" max="851" width="5.7109375" style="1" customWidth="1"/>
    <col min="852" max="852" width="10.42578125" style="1" customWidth="1"/>
    <col min="853" max="853" width="6.7109375" style="1" customWidth="1"/>
    <col min="854" max="854" width="6.140625" style="1" customWidth="1"/>
    <col min="855" max="855" width="18.85546875" style="1" customWidth="1"/>
    <col min="856" max="1026" width="8.42578125" style="1"/>
    <col min="1027" max="1027" width="10.42578125" style="1" customWidth="1"/>
    <col min="1028" max="1028" width="17.85546875" style="1" customWidth="1"/>
    <col min="1029" max="1029" width="10.5703125" style="1" customWidth="1"/>
    <col min="1030" max="1030" width="9.7109375" style="1" customWidth="1"/>
    <col min="1031" max="1035" width="8.28515625" style="1" customWidth="1"/>
    <col min="1036" max="1036" width="10" style="1" customWidth="1"/>
    <col min="1037" max="1037" width="8.28515625" style="1" customWidth="1"/>
    <col min="1038" max="1038" width="19.28515625" style="1" customWidth="1"/>
    <col min="1039" max="1039" width="6" style="1" customWidth="1"/>
    <col min="1040" max="1040" width="5.42578125" style="1" customWidth="1"/>
    <col min="1041" max="1041" width="6.5703125" style="1" customWidth="1"/>
    <col min="1042" max="1042" width="5.5703125" style="1" customWidth="1"/>
    <col min="1043" max="1043" width="5.140625" style="1" customWidth="1"/>
    <col min="1044" max="1044" width="7" style="1" customWidth="1"/>
    <col min="1045" max="1045" width="5.140625" style="1" customWidth="1"/>
    <col min="1046" max="1046" width="5.7109375" style="1" customWidth="1"/>
    <col min="1047" max="1048" width="6" style="1" customWidth="1"/>
    <col min="1049" max="1049" width="5" style="1" customWidth="1"/>
    <col min="1050" max="1050" width="6.42578125" style="1" customWidth="1"/>
    <col min="1051" max="1051" width="9.28515625" style="1" customWidth="1"/>
    <col min="1052" max="1053" width="6.85546875" style="1" customWidth="1"/>
    <col min="1054" max="1054" width="19" style="1" customWidth="1"/>
    <col min="1055" max="1072" width="5.7109375" style="1" customWidth="1"/>
    <col min="1073" max="1073" width="9.28515625" style="1" customWidth="1"/>
    <col min="1074" max="1074" width="6.7109375" style="1" customWidth="1"/>
    <col min="1075" max="1076" width="6.28515625" style="1" customWidth="1"/>
    <col min="1077" max="1077" width="19.28515625" style="1" customWidth="1"/>
    <col min="1078" max="1092" width="5.7109375" style="1" customWidth="1"/>
    <col min="1093" max="1093" width="10.140625" style="1" customWidth="1"/>
    <col min="1094" max="1094" width="6.5703125" style="1" customWidth="1"/>
    <col min="1095" max="1107" width="5.7109375" style="1" customWidth="1"/>
    <col min="1108" max="1108" width="10.42578125" style="1" customWidth="1"/>
    <col min="1109" max="1109" width="6.7109375" style="1" customWidth="1"/>
    <col min="1110" max="1110" width="6.140625" style="1" customWidth="1"/>
    <col min="1111" max="1111" width="18.85546875" style="1" customWidth="1"/>
    <col min="1112" max="1282" width="8.42578125" style="1"/>
    <col min="1283" max="1283" width="10.42578125" style="1" customWidth="1"/>
    <col min="1284" max="1284" width="17.85546875" style="1" customWidth="1"/>
    <col min="1285" max="1285" width="10.5703125" style="1" customWidth="1"/>
    <col min="1286" max="1286" width="9.7109375" style="1" customWidth="1"/>
    <col min="1287" max="1291" width="8.28515625" style="1" customWidth="1"/>
    <col min="1292" max="1292" width="10" style="1" customWidth="1"/>
    <col min="1293" max="1293" width="8.28515625" style="1" customWidth="1"/>
    <col min="1294" max="1294" width="19.28515625" style="1" customWidth="1"/>
    <col min="1295" max="1295" width="6" style="1" customWidth="1"/>
    <col min="1296" max="1296" width="5.42578125" style="1" customWidth="1"/>
    <col min="1297" max="1297" width="6.5703125" style="1" customWidth="1"/>
    <col min="1298" max="1298" width="5.5703125" style="1" customWidth="1"/>
    <col min="1299" max="1299" width="5.140625" style="1" customWidth="1"/>
    <col min="1300" max="1300" width="7" style="1" customWidth="1"/>
    <col min="1301" max="1301" width="5.140625" style="1" customWidth="1"/>
    <col min="1302" max="1302" width="5.7109375" style="1" customWidth="1"/>
    <col min="1303" max="1304" width="6" style="1" customWidth="1"/>
    <col min="1305" max="1305" width="5" style="1" customWidth="1"/>
    <col min="1306" max="1306" width="6.42578125" style="1" customWidth="1"/>
    <col min="1307" max="1307" width="9.28515625" style="1" customWidth="1"/>
    <col min="1308" max="1309" width="6.85546875" style="1" customWidth="1"/>
    <col min="1310" max="1310" width="19" style="1" customWidth="1"/>
    <col min="1311" max="1328" width="5.7109375" style="1" customWidth="1"/>
    <col min="1329" max="1329" width="9.28515625" style="1" customWidth="1"/>
    <col min="1330" max="1330" width="6.7109375" style="1" customWidth="1"/>
    <col min="1331" max="1332" width="6.28515625" style="1" customWidth="1"/>
    <col min="1333" max="1333" width="19.28515625" style="1" customWidth="1"/>
    <col min="1334" max="1348" width="5.7109375" style="1" customWidth="1"/>
    <col min="1349" max="1349" width="10.140625" style="1" customWidth="1"/>
    <col min="1350" max="1350" width="6.5703125" style="1" customWidth="1"/>
    <col min="1351" max="1363" width="5.7109375" style="1" customWidth="1"/>
    <col min="1364" max="1364" width="10.42578125" style="1" customWidth="1"/>
    <col min="1365" max="1365" width="6.7109375" style="1" customWidth="1"/>
    <col min="1366" max="1366" width="6.140625" style="1" customWidth="1"/>
    <col min="1367" max="1367" width="18.85546875" style="1" customWidth="1"/>
    <col min="1368" max="1538" width="8.42578125" style="1"/>
    <col min="1539" max="1539" width="10.42578125" style="1" customWidth="1"/>
    <col min="1540" max="1540" width="17.85546875" style="1" customWidth="1"/>
    <col min="1541" max="1541" width="10.5703125" style="1" customWidth="1"/>
    <col min="1542" max="1542" width="9.7109375" style="1" customWidth="1"/>
    <col min="1543" max="1547" width="8.28515625" style="1" customWidth="1"/>
    <col min="1548" max="1548" width="10" style="1" customWidth="1"/>
    <col min="1549" max="1549" width="8.28515625" style="1" customWidth="1"/>
    <col min="1550" max="1550" width="19.28515625" style="1" customWidth="1"/>
    <col min="1551" max="1551" width="6" style="1" customWidth="1"/>
    <col min="1552" max="1552" width="5.42578125" style="1" customWidth="1"/>
    <col min="1553" max="1553" width="6.5703125" style="1" customWidth="1"/>
    <col min="1554" max="1554" width="5.5703125" style="1" customWidth="1"/>
    <col min="1555" max="1555" width="5.140625" style="1" customWidth="1"/>
    <col min="1556" max="1556" width="7" style="1" customWidth="1"/>
    <col min="1557" max="1557" width="5.140625" style="1" customWidth="1"/>
    <col min="1558" max="1558" width="5.7109375" style="1" customWidth="1"/>
    <col min="1559" max="1560" width="6" style="1" customWidth="1"/>
    <col min="1561" max="1561" width="5" style="1" customWidth="1"/>
    <col min="1562" max="1562" width="6.42578125" style="1" customWidth="1"/>
    <col min="1563" max="1563" width="9.28515625" style="1" customWidth="1"/>
    <col min="1564" max="1565" width="6.85546875" style="1" customWidth="1"/>
    <col min="1566" max="1566" width="19" style="1" customWidth="1"/>
    <col min="1567" max="1584" width="5.7109375" style="1" customWidth="1"/>
    <col min="1585" max="1585" width="9.28515625" style="1" customWidth="1"/>
    <col min="1586" max="1586" width="6.7109375" style="1" customWidth="1"/>
    <col min="1587" max="1588" width="6.28515625" style="1" customWidth="1"/>
    <col min="1589" max="1589" width="19.28515625" style="1" customWidth="1"/>
    <col min="1590" max="1604" width="5.7109375" style="1" customWidth="1"/>
    <col min="1605" max="1605" width="10.140625" style="1" customWidth="1"/>
    <col min="1606" max="1606" width="6.5703125" style="1" customWidth="1"/>
    <col min="1607" max="1619" width="5.7109375" style="1" customWidth="1"/>
    <col min="1620" max="1620" width="10.42578125" style="1" customWidth="1"/>
    <col min="1621" max="1621" width="6.7109375" style="1" customWidth="1"/>
    <col min="1622" max="1622" width="6.140625" style="1" customWidth="1"/>
    <col min="1623" max="1623" width="18.85546875" style="1" customWidth="1"/>
    <col min="1624" max="1794" width="8.42578125" style="1"/>
    <col min="1795" max="1795" width="10.42578125" style="1" customWidth="1"/>
    <col min="1796" max="1796" width="17.85546875" style="1" customWidth="1"/>
    <col min="1797" max="1797" width="10.5703125" style="1" customWidth="1"/>
    <col min="1798" max="1798" width="9.7109375" style="1" customWidth="1"/>
    <col min="1799" max="1803" width="8.28515625" style="1" customWidth="1"/>
    <col min="1804" max="1804" width="10" style="1" customWidth="1"/>
    <col min="1805" max="1805" width="8.28515625" style="1" customWidth="1"/>
    <col min="1806" max="1806" width="19.28515625" style="1" customWidth="1"/>
    <col min="1807" max="1807" width="6" style="1" customWidth="1"/>
    <col min="1808" max="1808" width="5.42578125" style="1" customWidth="1"/>
    <col min="1809" max="1809" width="6.5703125" style="1" customWidth="1"/>
    <col min="1810" max="1810" width="5.5703125" style="1" customWidth="1"/>
    <col min="1811" max="1811" width="5.140625" style="1" customWidth="1"/>
    <col min="1812" max="1812" width="7" style="1" customWidth="1"/>
    <col min="1813" max="1813" width="5.140625" style="1" customWidth="1"/>
    <col min="1814" max="1814" width="5.7109375" style="1" customWidth="1"/>
    <col min="1815" max="1816" width="6" style="1" customWidth="1"/>
    <col min="1817" max="1817" width="5" style="1" customWidth="1"/>
    <col min="1818" max="1818" width="6.42578125" style="1" customWidth="1"/>
    <col min="1819" max="1819" width="9.28515625" style="1" customWidth="1"/>
    <col min="1820" max="1821" width="6.85546875" style="1" customWidth="1"/>
    <col min="1822" max="1822" width="19" style="1" customWidth="1"/>
    <col min="1823" max="1840" width="5.7109375" style="1" customWidth="1"/>
    <col min="1841" max="1841" width="9.28515625" style="1" customWidth="1"/>
    <col min="1842" max="1842" width="6.7109375" style="1" customWidth="1"/>
    <col min="1843" max="1844" width="6.28515625" style="1" customWidth="1"/>
    <col min="1845" max="1845" width="19.28515625" style="1" customWidth="1"/>
    <col min="1846" max="1860" width="5.7109375" style="1" customWidth="1"/>
    <col min="1861" max="1861" width="10.140625" style="1" customWidth="1"/>
    <col min="1862" max="1862" width="6.5703125" style="1" customWidth="1"/>
    <col min="1863" max="1875" width="5.7109375" style="1" customWidth="1"/>
    <col min="1876" max="1876" width="10.42578125" style="1" customWidth="1"/>
    <col min="1877" max="1877" width="6.7109375" style="1" customWidth="1"/>
    <col min="1878" max="1878" width="6.140625" style="1" customWidth="1"/>
    <col min="1879" max="1879" width="18.85546875" style="1" customWidth="1"/>
    <col min="1880" max="2050" width="8.42578125" style="1"/>
    <col min="2051" max="2051" width="10.42578125" style="1" customWidth="1"/>
    <col min="2052" max="2052" width="17.85546875" style="1" customWidth="1"/>
    <col min="2053" max="2053" width="10.5703125" style="1" customWidth="1"/>
    <col min="2054" max="2054" width="9.7109375" style="1" customWidth="1"/>
    <col min="2055" max="2059" width="8.28515625" style="1" customWidth="1"/>
    <col min="2060" max="2060" width="10" style="1" customWidth="1"/>
    <col min="2061" max="2061" width="8.28515625" style="1" customWidth="1"/>
    <col min="2062" max="2062" width="19.28515625" style="1" customWidth="1"/>
    <col min="2063" max="2063" width="6" style="1" customWidth="1"/>
    <col min="2064" max="2064" width="5.42578125" style="1" customWidth="1"/>
    <col min="2065" max="2065" width="6.5703125" style="1" customWidth="1"/>
    <col min="2066" max="2066" width="5.5703125" style="1" customWidth="1"/>
    <col min="2067" max="2067" width="5.140625" style="1" customWidth="1"/>
    <col min="2068" max="2068" width="7" style="1" customWidth="1"/>
    <col min="2069" max="2069" width="5.140625" style="1" customWidth="1"/>
    <col min="2070" max="2070" width="5.7109375" style="1" customWidth="1"/>
    <col min="2071" max="2072" width="6" style="1" customWidth="1"/>
    <col min="2073" max="2073" width="5" style="1" customWidth="1"/>
    <col min="2074" max="2074" width="6.42578125" style="1" customWidth="1"/>
    <col min="2075" max="2075" width="9.28515625" style="1" customWidth="1"/>
    <col min="2076" max="2077" width="6.85546875" style="1" customWidth="1"/>
    <col min="2078" max="2078" width="19" style="1" customWidth="1"/>
    <col min="2079" max="2096" width="5.7109375" style="1" customWidth="1"/>
    <col min="2097" max="2097" width="9.28515625" style="1" customWidth="1"/>
    <col min="2098" max="2098" width="6.7109375" style="1" customWidth="1"/>
    <col min="2099" max="2100" width="6.28515625" style="1" customWidth="1"/>
    <col min="2101" max="2101" width="19.28515625" style="1" customWidth="1"/>
    <col min="2102" max="2116" width="5.7109375" style="1" customWidth="1"/>
    <col min="2117" max="2117" width="10.140625" style="1" customWidth="1"/>
    <col min="2118" max="2118" width="6.5703125" style="1" customWidth="1"/>
    <col min="2119" max="2131" width="5.7109375" style="1" customWidth="1"/>
    <col min="2132" max="2132" width="10.42578125" style="1" customWidth="1"/>
    <col min="2133" max="2133" width="6.7109375" style="1" customWidth="1"/>
    <col min="2134" max="2134" width="6.140625" style="1" customWidth="1"/>
    <col min="2135" max="2135" width="18.85546875" style="1" customWidth="1"/>
    <col min="2136" max="2306" width="8.42578125" style="1"/>
    <col min="2307" max="2307" width="10.42578125" style="1" customWidth="1"/>
    <col min="2308" max="2308" width="17.85546875" style="1" customWidth="1"/>
    <col min="2309" max="2309" width="10.5703125" style="1" customWidth="1"/>
    <col min="2310" max="2310" width="9.7109375" style="1" customWidth="1"/>
    <col min="2311" max="2315" width="8.28515625" style="1" customWidth="1"/>
    <col min="2316" max="2316" width="10" style="1" customWidth="1"/>
    <col min="2317" max="2317" width="8.28515625" style="1" customWidth="1"/>
    <col min="2318" max="2318" width="19.28515625" style="1" customWidth="1"/>
    <col min="2319" max="2319" width="6" style="1" customWidth="1"/>
    <col min="2320" max="2320" width="5.42578125" style="1" customWidth="1"/>
    <col min="2321" max="2321" width="6.5703125" style="1" customWidth="1"/>
    <col min="2322" max="2322" width="5.5703125" style="1" customWidth="1"/>
    <col min="2323" max="2323" width="5.140625" style="1" customWidth="1"/>
    <col min="2324" max="2324" width="7" style="1" customWidth="1"/>
    <col min="2325" max="2325" width="5.140625" style="1" customWidth="1"/>
    <col min="2326" max="2326" width="5.7109375" style="1" customWidth="1"/>
    <col min="2327" max="2328" width="6" style="1" customWidth="1"/>
    <col min="2329" max="2329" width="5" style="1" customWidth="1"/>
    <col min="2330" max="2330" width="6.42578125" style="1" customWidth="1"/>
    <col min="2331" max="2331" width="9.28515625" style="1" customWidth="1"/>
    <col min="2332" max="2333" width="6.85546875" style="1" customWidth="1"/>
    <col min="2334" max="2334" width="19" style="1" customWidth="1"/>
    <col min="2335" max="2352" width="5.7109375" style="1" customWidth="1"/>
    <col min="2353" max="2353" width="9.28515625" style="1" customWidth="1"/>
    <col min="2354" max="2354" width="6.7109375" style="1" customWidth="1"/>
    <col min="2355" max="2356" width="6.28515625" style="1" customWidth="1"/>
    <col min="2357" max="2357" width="19.28515625" style="1" customWidth="1"/>
    <col min="2358" max="2372" width="5.7109375" style="1" customWidth="1"/>
    <col min="2373" max="2373" width="10.140625" style="1" customWidth="1"/>
    <col min="2374" max="2374" width="6.5703125" style="1" customWidth="1"/>
    <col min="2375" max="2387" width="5.7109375" style="1" customWidth="1"/>
    <col min="2388" max="2388" width="10.42578125" style="1" customWidth="1"/>
    <col min="2389" max="2389" width="6.7109375" style="1" customWidth="1"/>
    <col min="2390" max="2390" width="6.140625" style="1" customWidth="1"/>
    <col min="2391" max="2391" width="18.85546875" style="1" customWidth="1"/>
    <col min="2392" max="2562" width="8.42578125" style="1"/>
    <col min="2563" max="2563" width="10.42578125" style="1" customWidth="1"/>
    <col min="2564" max="2564" width="17.85546875" style="1" customWidth="1"/>
    <col min="2565" max="2565" width="10.5703125" style="1" customWidth="1"/>
    <col min="2566" max="2566" width="9.7109375" style="1" customWidth="1"/>
    <col min="2567" max="2571" width="8.28515625" style="1" customWidth="1"/>
    <col min="2572" max="2572" width="10" style="1" customWidth="1"/>
    <col min="2573" max="2573" width="8.28515625" style="1" customWidth="1"/>
    <col min="2574" max="2574" width="19.28515625" style="1" customWidth="1"/>
    <col min="2575" max="2575" width="6" style="1" customWidth="1"/>
    <col min="2576" max="2576" width="5.42578125" style="1" customWidth="1"/>
    <col min="2577" max="2577" width="6.5703125" style="1" customWidth="1"/>
    <col min="2578" max="2578" width="5.5703125" style="1" customWidth="1"/>
    <col min="2579" max="2579" width="5.140625" style="1" customWidth="1"/>
    <col min="2580" max="2580" width="7" style="1" customWidth="1"/>
    <col min="2581" max="2581" width="5.140625" style="1" customWidth="1"/>
    <col min="2582" max="2582" width="5.7109375" style="1" customWidth="1"/>
    <col min="2583" max="2584" width="6" style="1" customWidth="1"/>
    <col min="2585" max="2585" width="5" style="1" customWidth="1"/>
    <col min="2586" max="2586" width="6.42578125" style="1" customWidth="1"/>
    <col min="2587" max="2587" width="9.28515625" style="1" customWidth="1"/>
    <col min="2588" max="2589" width="6.85546875" style="1" customWidth="1"/>
    <col min="2590" max="2590" width="19" style="1" customWidth="1"/>
    <col min="2591" max="2608" width="5.7109375" style="1" customWidth="1"/>
    <col min="2609" max="2609" width="9.28515625" style="1" customWidth="1"/>
    <col min="2610" max="2610" width="6.7109375" style="1" customWidth="1"/>
    <col min="2611" max="2612" width="6.28515625" style="1" customWidth="1"/>
    <col min="2613" max="2613" width="19.28515625" style="1" customWidth="1"/>
    <col min="2614" max="2628" width="5.7109375" style="1" customWidth="1"/>
    <col min="2629" max="2629" width="10.140625" style="1" customWidth="1"/>
    <col min="2630" max="2630" width="6.5703125" style="1" customWidth="1"/>
    <col min="2631" max="2643" width="5.7109375" style="1" customWidth="1"/>
    <col min="2644" max="2644" width="10.42578125" style="1" customWidth="1"/>
    <col min="2645" max="2645" width="6.7109375" style="1" customWidth="1"/>
    <col min="2646" max="2646" width="6.140625" style="1" customWidth="1"/>
    <col min="2647" max="2647" width="18.85546875" style="1" customWidth="1"/>
    <col min="2648" max="2818" width="8.42578125" style="1"/>
    <col min="2819" max="2819" width="10.42578125" style="1" customWidth="1"/>
    <col min="2820" max="2820" width="17.85546875" style="1" customWidth="1"/>
    <col min="2821" max="2821" width="10.5703125" style="1" customWidth="1"/>
    <col min="2822" max="2822" width="9.7109375" style="1" customWidth="1"/>
    <col min="2823" max="2827" width="8.28515625" style="1" customWidth="1"/>
    <col min="2828" max="2828" width="10" style="1" customWidth="1"/>
    <col min="2829" max="2829" width="8.28515625" style="1" customWidth="1"/>
    <col min="2830" max="2830" width="19.28515625" style="1" customWidth="1"/>
    <col min="2831" max="2831" width="6" style="1" customWidth="1"/>
    <col min="2832" max="2832" width="5.42578125" style="1" customWidth="1"/>
    <col min="2833" max="2833" width="6.5703125" style="1" customWidth="1"/>
    <col min="2834" max="2834" width="5.5703125" style="1" customWidth="1"/>
    <col min="2835" max="2835" width="5.140625" style="1" customWidth="1"/>
    <col min="2836" max="2836" width="7" style="1" customWidth="1"/>
    <col min="2837" max="2837" width="5.140625" style="1" customWidth="1"/>
    <col min="2838" max="2838" width="5.7109375" style="1" customWidth="1"/>
    <col min="2839" max="2840" width="6" style="1" customWidth="1"/>
    <col min="2841" max="2841" width="5" style="1" customWidth="1"/>
    <col min="2842" max="2842" width="6.42578125" style="1" customWidth="1"/>
    <col min="2843" max="2843" width="9.28515625" style="1" customWidth="1"/>
    <col min="2844" max="2845" width="6.85546875" style="1" customWidth="1"/>
    <col min="2846" max="2846" width="19" style="1" customWidth="1"/>
    <col min="2847" max="2864" width="5.7109375" style="1" customWidth="1"/>
    <col min="2865" max="2865" width="9.28515625" style="1" customWidth="1"/>
    <col min="2866" max="2866" width="6.7109375" style="1" customWidth="1"/>
    <col min="2867" max="2868" width="6.28515625" style="1" customWidth="1"/>
    <col min="2869" max="2869" width="19.28515625" style="1" customWidth="1"/>
    <col min="2870" max="2884" width="5.7109375" style="1" customWidth="1"/>
    <col min="2885" max="2885" width="10.140625" style="1" customWidth="1"/>
    <col min="2886" max="2886" width="6.5703125" style="1" customWidth="1"/>
    <col min="2887" max="2899" width="5.7109375" style="1" customWidth="1"/>
    <col min="2900" max="2900" width="10.42578125" style="1" customWidth="1"/>
    <col min="2901" max="2901" width="6.7109375" style="1" customWidth="1"/>
    <col min="2902" max="2902" width="6.140625" style="1" customWidth="1"/>
    <col min="2903" max="2903" width="18.85546875" style="1" customWidth="1"/>
    <col min="2904" max="3074" width="8.42578125" style="1"/>
    <col min="3075" max="3075" width="10.42578125" style="1" customWidth="1"/>
    <col min="3076" max="3076" width="17.85546875" style="1" customWidth="1"/>
    <col min="3077" max="3077" width="10.5703125" style="1" customWidth="1"/>
    <col min="3078" max="3078" width="9.7109375" style="1" customWidth="1"/>
    <col min="3079" max="3083" width="8.28515625" style="1" customWidth="1"/>
    <col min="3084" max="3084" width="10" style="1" customWidth="1"/>
    <col min="3085" max="3085" width="8.28515625" style="1" customWidth="1"/>
    <col min="3086" max="3086" width="19.28515625" style="1" customWidth="1"/>
    <col min="3087" max="3087" width="6" style="1" customWidth="1"/>
    <col min="3088" max="3088" width="5.42578125" style="1" customWidth="1"/>
    <col min="3089" max="3089" width="6.5703125" style="1" customWidth="1"/>
    <col min="3090" max="3090" width="5.5703125" style="1" customWidth="1"/>
    <col min="3091" max="3091" width="5.140625" style="1" customWidth="1"/>
    <col min="3092" max="3092" width="7" style="1" customWidth="1"/>
    <col min="3093" max="3093" width="5.140625" style="1" customWidth="1"/>
    <col min="3094" max="3094" width="5.7109375" style="1" customWidth="1"/>
    <col min="3095" max="3096" width="6" style="1" customWidth="1"/>
    <col min="3097" max="3097" width="5" style="1" customWidth="1"/>
    <col min="3098" max="3098" width="6.42578125" style="1" customWidth="1"/>
    <col min="3099" max="3099" width="9.28515625" style="1" customWidth="1"/>
    <col min="3100" max="3101" width="6.85546875" style="1" customWidth="1"/>
    <col min="3102" max="3102" width="19" style="1" customWidth="1"/>
    <col min="3103" max="3120" width="5.7109375" style="1" customWidth="1"/>
    <col min="3121" max="3121" width="9.28515625" style="1" customWidth="1"/>
    <col min="3122" max="3122" width="6.7109375" style="1" customWidth="1"/>
    <col min="3123" max="3124" width="6.28515625" style="1" customWidth="1"/>
    <col min="3125" max="3125" width="19.28515625" style="1" customWidth="1"/>
    <col min="3126" max="3140" width="5.7109375" style="1" customWidth="1"/>
    <col min="3141" max="3141" width="10.140625" style="1" customWidth="1"/>
    <col min="3142" max="3142" width="6.5703125" style="1" customWidth="1"/>
    <col min="3143" max="3155" width="5.7109375" style="1" customWidth="1"/>
    <col min="3156" max="3156" width="10.42578125" style="1" customWidth="1"/>
    <col min="3157" max="3157" width="6.7109375" style="1" customWidth="1"/>
    <col min="3158" max="3158" width="6.140625" style="1" customWidth="1"/>
    <col min="3159" max="3159" width="18.85546875" style="1" customWidth="1"/>
    <col min="3160" max="3330" width="8.42578125" style="1"/>
    <col min="3331" max="3331" width="10.42578125" style="1" customWidth="1"/>
    <col min="3332" max="3332" width="17.85546875" style="1" customWidth="1"/>
    <col min="3333" max="3333" width="10.5703125" style="1" customWidth="1"/>
    <col min="3334" max="3334" width="9.7109375" style="1" customWidth="1"/>
    <col min="3335" max="3339" width="8.28515625" style="1" customWidth="1"/>
    <col min="3340" max="3340" width="10" style="1" customWidth="1"/>
    <col min="3341" max="3341" width="8.28515625" style="1" customWidth="1"/>
    <col min="3342" max="3342" width="19.28515625" style="1" customWidth="1"/>
    <col min="3343" max="3343" width="6" style="1" customWidth="1"/>
    <col min="3344" max="3344" width="5.42578125" style="1" customWidth="1"/>
    <col min="3345" max="3345" width="6.5703125" style="1" customWidth="1"/>
    <col min="3346" max="3346" width="5.5703125" style="1" customWidth="1"/>
    <col min="3347" max="3347" width="5.140625" style="1" customWidth="1"/>
    <col min="3348" max="3348" width="7" style="1" customWidth="1"/>
    <col min="3349" max="3349" width="5.140625" style="1" customWidth="1"/>
    <col min="3350" max="3350" width="5.7109375" style="1" customWidth="1"/>
    <col min="3351" max="3352" width="6" style="1" customWidth="1"/>
    <col min="3353" max="3353" width="5" style="1" customWidth="1"/>
    <col min="3354" max="3354" width="6.42578125" style="1" customWidth="1"/>
    <col min="3355" max="3355" width="9.28515625" style="1" customWidth="1"/>
    <col min="3356" max="3357" width="6.85546875" style="1" customWidth="1"/>
    <col min="3358" max="3358" width="19" style="1" customWidth="1"/>
    <col min="3359" max="3376" width="5.7109375" style="1" customWidth="1"/>
    <col min="3377" max="3377" width="9.28515625" style="1" customWidth="1"/>
    <col min="3378" max="3378" width="6.7109375" style="1" customWidth="1"/>
    <col min="3379" max="3380" width="6.28515625" style="1" customWidth="1"/>
    <col min="3381" max="3381" width="19.28515625" style="1" customWidth="1"/>
    <col min="3382" max="3396" width="5.7109375" style="1" customWidth="1"/>
    <col min="3397" max="3397" width="10.140625" style="1" customWidth="1"/>
    <col min="3398" max="3398" width="6.5703125" style="1" customWidth="1"/>
    <col min="3399" max="3411" width="5.7109375" style="1" customWidth="1"/>
    <col min="3412" max="3412" width="10.42578125" style="1" customWidth="1"/>
    <col min="3413" max="3413" width="6.7109375" style="1" customWidth="1"/>
    <col min="3414" max="3414" width="6.140625" style="1" customWidth="1"/>
    <col min="3415" max="3415" width="18.85546875" style="1" customWidth="1"/>
    <col min="3416" max="3586" width="8.42578125" style="1"/>
    <col min="3587" max="3587" width="10.42578125" style="1" customWidth="1"/>
    <col min="3588" max="3588" width="17.85546875" style="1" customWidth="1"/>
    <col min="3589" max="3589" width="10.5703125" style="1" customWidth="1"/>
    <col min="3590" max="3590" width="9.7109375" style="1" customWidth="1"/>
    <col min="3591" max="3595" width="8.28515625" style="1" customWidth="1"/>
    <col min="3596" max="3596" width="10" style="1" customWidth="1"/>
    <col min="3597" max="3597" width="8.28515625" style="1" customWidth="1"/>
    <col min="3598" max="3598" width="19.28515625" style="1" customWidth="1"/>
    <col min="3599" max="3599" width="6" style="1" customWidth="1"/>
    <col min="3600" max="3600" width="5.42578125" style="1" customWidth="1"/>
    <col min="3601" max="3601" width="6.5703125" style="1" customWidth="1"/>
    <col min="3602" max="3602" width="5.5703125" style="1" customWidth="1"/>
    <col min="3603" max="3603" width="5.140625" style="1" customWidth="1"/>
    <col min="3604" max="3604" width="7" style="1" customWidth="1"/>
    <col min="3605" max="3605" width="5.140625" style="1" customWidth="1"/>
    <col min="3606" max="3606" width="5.7109375" style="1" customWidth="1"/>
    <col min="3607" max="3608" width="6" style="1" customWidth="1"/>
    <col min="3609" max="3609" width="5" style="1" customWidth="1"/>
    <col min="3610" max="3610" width="6.42578125" style="1" customWidth="1"/>
    <col min="3611" max="3611" width="9.28515625" style="1" customWidth="1"/>
    <col min="3612" max="3613" width="6.85546875" style="1" customWidth="1"/>
    <col min="3614" max="3614" width="19" style="1" customWidth="1"/>
    <col min="3615" max="3632" width="5.7109375" style="1" customWidth="1"/>
    <col min="3633" max="3633" width="9.28515625" style="1" customWidth="1"/>
    <col min="3634" max="3634" width="6.7109375" style="1" customWidth="1"/>
    <col min="3635" max="3636" width="6.28515625" style="1" customWidth="1"/>
    <col min="3637" max="3637" width="19.28515625" style="1" customWidth="1"/>
    <col min="3638" max="3652" width="5.7109375" style="1" customWidth="1"/>
    <col min="3653" max="3653" width="10.140625" style="1" customWidth="1"/>
    <col min="3654" max="3654" width="6.5703125" style="1" customWidth="1"/>
    <col min="3655" max="3667" width="5.7109375" style="1" customWidth="1"/>
    <col min="3668" max="3668" width="10.42578125" style="1" customWidth="1"/>
    <col min="3669" max="3669" width="6.7109375" style="1" customWidth="1"/>
    <col min="3670" max="3670" width="6.140625" style="1" customWidth="1"/>
    <col min="3671" max="3671" width="18.85546875" style="1" customWidth="1"/>
    <col min="3672" max="3842" width="8.42578125" style="1"/>
    <col min="3843" max="3843" width="10.42578125" style="1" customWidth="1"/>
    <col min="3844" max="3844" width="17.85546875" style="1" customWidth="1"/>
    <col min="3845" max="3845" width="10.5703125" style="1" customWidth="1"/>
    <col min="3846" max="3846" width="9.7109375" style="1" customWidth="1"/>
    <col min="3847" max="3851" width="8.28515625" style="1" customWidth="1"/>
    <col min="3852" max="3852" width="10" style="1" customWidth="1"/>
    <col min="3853" max="3853" width="8.28515625" style="1" customWidth="1"/>
    <col min="3854" max="3854" width="19.28515625" style="1" customWidth="1"/>
    <col min="3855" max="3855" width="6" style="1" customWidth="1"/>
    <col min="3856" max="3856" width="5.42578125" style="1" customWidth="1"/>
    <col min="3857" max="3857" width="6.5703125" style="1" customWidth="1"/>
    <col min="3858" max="3858" width="5.5703125" style="1" customWidth="1"/>
    <col min="3859" max="3859" width="5.140625" style="1" customWidth="1"/>
    <col min="3860" max="3860" width="7" style="1" customWidth="1"/>
    <col min="3861" max="3861" width="5.140625" style="1" customWidth="1"/>
    <col min="3862" max="3862" width="5.7109375" style="1" customWidth="1"/>
    <col min="3863" max="3864" width="6" style="1" customWidth="1"/>
    <col min="3865" max="3865" width="5" style="1" customWidth="1"/>
    <col min="3866" max="3866" width="6.42578125" style="1" customWidth="1"/>
    <col min="3867" max="3867" width="9.28515625" style="1" customWidth="1"/>
    <col min="3868" max="3869" width="6.85546875" style="1" customWidth="1"/>
    <col min="3870" max="3870" width="19" style="1" customWidth="1"/>
    <col min="3871" max="3888" width="5.7109375" style="1" customWidth="1"/>
    <col min="3889" max="3889" width="9.28515625" style="1" customWidth="1"/>
    <col min="3890" max="3890" width="6.7109375" style="1" customWidth="1"/>
    <col min="3891" max="3892" width="6.28515625" style="1" customWidth="1"/>
    <col min="3893" max="3893" width="19.28515625" style="1" customWidth="1"/>
    <col min="3894" max="3908" width="5.7109375" style="1" customWidth="1"/>
    <col min="3909" max="3909" width="10.140625" style="1" customWidth="1"/>
    <col min="3910" max="3910" width="6.5703125" style="1" customWidth="1"/>
    <col min="3911" max="3923" width="5.7109375" style="1" customWidth="1"/>
    <col min="3924" max="3924" width="10.42578125" style="1" customWidth="1"/>
    <col min="3925" max="3925" width="6.7109375" style="1" customWidth="1"/>
    <col min="3926" max="3926" width="6.140625" style="1" customWidth="1"/>
    <col min="3927" max="3927" width="18.85546875" style="1" customWidth="1"/>
    <col min="3928" max="4098" width="8.42578125" style="1"/>
    <col min="4099" max="4099" width="10.42578125" style="1" customWidth="1"/>
    <col min="4100" max="4100" width="17.85546875" style="1" customWidth="1"/>
    <col min="4101" max="4101" width="10.5703125" style="1" customWidth="1"/>
    <col min="4102" max="4102" width="9.7109375" style="1" customWidth="1"/>
    <col min="4103" max="4107" width="8.28515625" style="1" customWidth="1"/>
    <col min="4108" max="4108" width="10" style="1" customWidth="1"/>
    <col min="4109" max="4109" width="8.28515625" style="1" customWidth="1"/>
    <col min="4110" max="4110" width="19.28515625" style="1" customWidth="1"/>
    <col min="4111" max="4111" width="6" style="1" customWidth="1"/>
    <col min="4112" max="4112" width="5.42578125" style="1" customWidth="1"/>
    <col min="4113" max="4113" width="6.5703125" style="1" customWidth="1"/>
    <col min="4114" max="4114" width="5.5703125" style="1" customWidth="1"/>
    <col min="4115" max="4115" width="5.140625" style="1" customWidth="1"/>
    <col min="4116" max="4116" width="7" style="1" customWidth="1"/>
    <col min="4117" max="4117" width="5.140625" style="1" customWidth="1"/>
    <col min="4118" max="4118" width="5.7109375" style="1" customWidth="1"/>
    <col min="4119" max="4120" width="6" style="1" customWidth="1"/>
    <col min="4121" max="4121" width="5" style="1" customWidth="1"/>
    <col min="4122" max="4122" width="6.42578125" style="1" customWidth="1"/>
    <col min="4123" max="4123" width="9.28515625" style="1" customWidth="1"/>
    <col min="4124" max="4125" width="6.85546875" style="1" customWidth="1"/>
    <col min="4126" max="4126" width="19" style="1" customWidth="1"/>
    <col min="4127" max="4144" width="5.7109375" style="1" customWidth="1"/>
    <col min="4145" max="4145" width="9.28515625" style="1" customWidth="1"/>
    <col min="4146" max="4146" width="6.7109375" style="1" customWidth="1"/>
    <col min="4147" max="4148" width="6.28515625" style="1" customWidth="1"/>
    <col min="4149" max="4149" width="19.28515625" style="1" customWidth="1"/>
    <col min="4150" max="4164" width="5.7109375" style="1" customWidth="1"/>
    <col min="4165" max="4165" width="10.140625" style="1" customWidth="1"/>
    <col min="4166" max="4166" width="6.5703125" style="1" customWidth="1"/>
    <col min="4167" max="4179" width="5.7109375" style="1" customWidth="1"/>
    <col min="4180" max="4180" width="10.42578125" style="1" customWidth="1"/>
    <col min="4181" max="4181" width="6.7109375" style="1" customWidth="1"/>
    <col min="4182" max="4182" width="6.140625" style="1" customWidth="1"/>
    <col min="4183" max="4183" width="18.85546875" style="1" customWidth="1"/>
    <col min="4184" max="4354" width="8.42578125" style="1"/>
    <col min="4355" max="4355" width="10.42578125" style="1" customWidth="1"/>
    <col min="4356" max="4356" width="17.85546875" style="1" customWidth="1"/>
    <col min="4357" max="4357" width="10.5703125" style="1" customWidth="1"/>
    <col min="4358" max="4358" width="9.7109375" style="1" customWidth="1"/>
    <col min="4359" max="4363" width="8.28515625" style="1" customWidth="1"/>
    <col min="4364" max="4364" width="10" style="1" customWidth="1"/>
    <col min="4365" max="4365" width="8.28515625" style="1" customWidth="1"/>
    <col min="4366" max="4366" width="19.28515625" style="1" customWidth="1"/>
    <col min="4367" max="4367" width="6" style="1" customWidth="1"/>
    <col min="4368" max="4368" width="5.42578125" style="1" customWidth="1"/>
    <col min="4369" max="4369" width="6.5703125" style="1" customWidth="1"/>
    <col min="4370" max="4370" width="5.5703125" style="1" customWidth="1"/>
    <col min="4371" max="4371" width="5.140625" style="1" customWidth="1"/>
    <col min="4372" max="4372" width="7" style="1" customWidth="1"/>
    <col min="4373" max="4373" width="5.140625" style="1" customWidth="1"/>
    <col min="4374" max="4374" width="5.7109375" style="1" customWidth="1"/>
    <col min="4375" max="4376" width="6" style="1" customWidth="1"/>
    <col min="4377" max="4377" width="5" style="1" customWidth="1"/>
    <col min="4378" max="4378" width="6.42578125" style="1" customWidth="1"/>
    <col min="4379" max="4379" width="9.28515625" style="1" customWidth="1"/>
    <col min="4380" max="4381" width="6.85546875" style="1" customWidth="1"/>
    <col min="4382" max="4382" width="19" style="1" customWidth="1"/>
    <col min="4383" max="4400" width="5.7109375" style="1" customWidth="1"/>
    <col min="4401" max="4401" width="9.28515625" style="1" customWidth="1"/>
    <col min="4402" max="4402" width="6.7109375" style="1" customWidth="1"/>
    <col min="4403" max="4404" width="6.28515625" style="1" customWidth="1"/>
    <col min="4405" max="4405" width="19.28515625" style="1" customWidth="1"/>
    <col min="4406" max="4420" width="5.7109375" style="1" customWidth="1"/>
    <col min="4421" max="4421" width="10.140625" style="1" customWidth="1"/>
    <col min="4422" max="4422" width="6.5703125" style="1" customWidth="1"/>
    <col min="4423" max="4435" width="5.7109375" style="1" customWidth="1"/>
    <col min="4436" max="4436" width="10.42578125" style="1" customWidth="1"/>
    <col min="4437" max="4437" width="6.7109375" style="1" customWidth="1"/>
    <col min="4438" max="4438" width="6.140625" style="1" customWidth="1"/>
    <col min="4439" max="4439" width="18.85546875" style="1" customWidth="1"/>
    <col min="4440" max="4610" width="8.42578125" style="1"/>
    <col min="4611" max="4611" width="10.42578125" style="1" customWidth="1"/>
    <col min="4612" max="4612" width="17.85546875" style="1" customWidth="1"/>
    <col min="4613" max="4613" width="10.5703125" style="1" customWidth="1"/>
    <col min="4614" max="4614" width="9.7109375" style="1" customWidth="1"/>
    <col min="4615" max="4619" width="8.28515625" style="1" customWidth="1"/>
    <col min="4620" max="4620" width="10" style="1" customWidth="1"/>
    <col min="4621" max="4621" width="8.28515625" style="1" customWidth="1"/>
    <col min="4622" max="4622" width="19.28515625" style="1" customWidth="1"/>
    <col min="4623" max="4623" width="6" style="1" customWidth="1"/>
    <col min="4624" max="4624" width="5.42578125" style="1" customWidth="1"/>
    <col min="4625" max="4625" width="6.5703125" style="1" customWidth="1"/>
    <col min="4626" max="4626" width="5.5703125" style="1" customWidth="1"/>
    <col min="4627" max="4627" width="5.140625" style="1" customWidth="1"/>
    <col min="4628" max="4628" width="7" style="1" customWidth="1"/>
    <col min="4629" max="4629" width="5.140625" style="1" customWidth="1"/>
    <col min="4630" max="4630" width="5.7109375" style="1" customWidth="1"/>
    <col min="4631" max="4632" width="6" style="1" customWidth="1"/>
    <col min="4633" max="4633" width="5" style="1" customWidth="1"/>
    <col min="4634" max="4634" width="6.42578125" style="1" customWidth="1"/>
    <col min="4635" max="4635" width="9.28515625" style="1" customWidth="1"/>
    <col min="4636" max="4637" width="6.85546875" style="1" customWidth="1"/>
    <col min="4638" max="4638" width="19" style="1" customWidth="1"/>
    <col min="4639" max="4656" width="5.7109375" style="1" customWidth="1"/>
    <col min="4657" max="4657" width="9.28515625" style="1" customWidth="1"/>
    <col min="4658" max="4658" width="6.7109375" style="1" customWidth="1"/>
    <col min="4659" max="4660" width="6.28515625" style="1" customWidth="1"/>
    <col min="4661" max="4661" width="19.28515625" style="1" customWidth="1"/>
    <col min="4662" max="4676" width="5.7109375" style="1" customWidth="1"/>
    <col min="4677" max="4677" width="10.140625" style="1" customWidth="1"/>
    <col min="4678" max="4678" width="6.5703125" style="1" customWidth="1"/>
    <col min="4679" max="4691" width="5.7109375" style="1" customWidth="1"/>
    <col min="4692" max="4692" width="10.42578125" style="1" customWidth="1"/>
    <col min="4693" max="4693" width="6.7109375" style="1" customWidth="1"/>
    <col min="4694" max="4694" width="6.140625" style="1" customWidth="1"/>
    <col min="4695" max="4695" width="18.85546875" style="1" customWidth="1"/>
    <col min="4696" max="4866" width="8.42578125" style="1"/>
    <col min="4867" max="4867" width="10.42578125" style="1" customWidth="1"/>
    <col min="4868" max="4868" width="17.85546875" style="1" customWidth="1"/>
    <col min="4869" max="4869" width="10.5703125" style="1" customWidth="1"/>
    <col min="4870" max="4870" width="9.7109375" style="1" customWidth="1"/>
    <col min="4871" max="4875" width="8.28515625" style="1" customWidth="1"/>
    <col min="4876" max="4876" width="10" style="1" customWidth="1"/>
    <col min="4877" max="4877" width="8.28515625" style="1" customWidth="1"/>
    <col min="4878" max="4878" width="19.28515625" style="1" customWidth="1"/>
    <col min="4879" max="4879" width="6" style="1" customWidth="1"/>
    <col min="4880" max="4880" width="5.42578125" style="1" customWidth="1"/>
    <col min="4881" max="4881" width="6.5703125" style="1" customWidth="1"/>
    <col min="4882" max="4882" width="5.5703125" style="1" customWidth="1"/>
    <col min="4883" max="4883" width="5.140625" style="1" customWidth="1"/>
    <col min="4884" max="4884" width="7" style="1" customWidth="1"/>
    <col min="4885" max="4885" width="5.140625" style="1" customWidth="1"/>
    <col min="4886" max="4886" width="5.7109375" style="1" customWidth="1"/>
    <col min="4887" max="4888" width="6" style="1" customWidth="1"/>
    <col min="4889" max="4889" width="5" style="1" customWidth="1"/>
    <col min="4890" max="4890" width="6.42578125" style="1" customWidth="1"/>
    <col min="4891" max="4891" width="9.28515625" style="1" customWidth="1"/>
    <col min="4892" max="4893" width="6.85546875" style="1" customWidth="1"/>
    <col min="4894" max="4894" width="19" style="1" customWidth="1"/>
    <col min="4895" max="4912" width="5.7109375" style="1" customWidth="1"/>
    <col min="4913" max="4913" width="9.28515625" style="1" customWidth="1"/>
    <col min="4914" max="4914" width="6.7109375" style="1" customWidth="1"/>
    <col min="4915" max="4916" width="6.28515625" style="1" customWidth="1"/>
    <col min="4917" max="4917" width="19.28515625" style="1" customWidth="1"/>
    <col min="4918" max="4932" width="5.7109375" style="1" customWidth="1"/>
    <col min="4933" max="4933" width="10.140625" style="1" customWidth="1"/>
    <col min="4934" max="4934" width="6.5703125" style="1" customWidth="1"/>
    <col min="4935" max="4947" width="5.7109375" style="1" customWidth="1"/>
    <col min="4948" max="4948" width="10.42578125" style="1" customWidth="1"/>
    <col min="4949" max="4949" width="6.7109375" style="1" customWidth="1"/>
    <col min="4950" max="4950" width="6.140625" style="1" customWidth="1"/>
    <col min="4951" max="4951" width="18.85546875" style="1" customWidth="1"/>
    <col min="4952" max="5122" width="8.42578125" style="1"/>
    <col min="5123" max="5123" width="10.42578125" style="1" customWidth="1"/>
    <col min="5124" max="5124" width="17.85546875" style="1" customWidth="1"/>
    <col min="5125" max="5125" width="10.5703125" style="1" customWidth="1"/>
    <col min="5126" max="5126" width="9.7109375" style="1" customWidth="1"/>
    <col min="5127" max="5131" width="8.28515625" style="1" customWidth="1"/>
    <col min="5132" max="5132" width="10" style="1" customWidth="1"/>
    <col min="5133" max="5133" width="8.28515625" style="1" customWidth="1"/>
    <col min="5134" max="5134" width="19.28515625" style="1" customWidth="1"/>
    <col min="5135" max="5135" width="6" style="1" customWidth="1"/>
    <col min="5136" max="5136" width="5.42578125" style="1" customWidth="1"/>
    <col min="5137" max="5137" width="6.5703125" style="1" customWidth="1"/>
    <col min="5138" max="5138" width="5.5703125" style="1" customWidth="1"/>
    <col min="5139" max="5139" width="5.140625" style="1" customWidth="1"/>
    <col min="5140" max="5140" width="7" style="1" customWidth="1"/>
    <col min="5141" max="5141" width="5.140625" style="1" customWidth="1"/>
    <col min="5142" max="5142" width="5.7109375" style="1" customWidth="1"/>
    <col min="5143" max="5144" width="6" style="1" customWidth="1"/>
    <col min="5145" max="5145" width="5" style="1" customWidth="1"/>
    <col min="5146" max="5146" width="6.42578125" style="1" customWidth="1"/>
    <col min="5147" max="5147" width="9.28515625" style="1" customWidth="1"/>
    <col min="5148" max="5149" width="6.85546875" style="1" customWidth="1"/>
    <col min="5150" max="5150" width="19" style="1" customWidth="1"/>
    <col min="5151" max="5168" width="5.7109375" style="1" customWidth="1"/>
    <col min="5169" max="5169" width="9.28515625" style="1" customWidth="1"/>
    <col min="5170" max="5170" width="6.7109375" style="1" customWidth="1"/>
    <col min="5171" max="5172" width="6.28515625" style="1" customWidth="1"/>
    <col min="5173" max="5173" width="19.28515625" style="1" customWidth="1"/>
    <col min="5174" max="5188" width="5.7109375" style="1" customWidth="1"/>
    <col min="5189" max="5189" width="10.140625" style="1" customWidth="1"/>
    <col min="5190" max="5190" width="6.5703125" style="1" customWidth="1"/>
    <col min="5191" max="5203" width="5.7109375" style="1" customWidth="1"/>
    <col min="5204" max="5204" width="10.42578125" style="1" customWidth="1"/>
    <col min="5205" max="5205" width="6.7109375" style="1" customWidth="1"/>
    <col min="5206" max="5206" width="6.140625" style="1" customWidth="1"/>
    <col min="5207" max="5207" width="18.85546875" style="1" customWidth="1"/>
    <col min="5208" max="5378" width="8.42578125" style="1"/>
    <col min="5379" max="5379" width="10.42578125" style="1" customWidth="1"/>
    <col min="5380" max="5380" width="17.85546875" style="1" customWidth="1"/>
    <col min="5381" max="5381" width="10.5703125" style="1" customWidth="1"/>
    <col min="5382" max="5382" width="9.7109375" style="1" customWidth="1"/>
    <col min="5383" max="5387" width="8.28515625" style="1" customWidth="1"/>
    <col min="5388" max="5388" width="10" style="1" customWidth="1"/>
    <col min="5389" max="5389" width="8.28515625" style="1" customWidth="1"/>
    <col min="5390" max="5390" width="19.28515625" style="1" customWidth="1"/>
    <col min="5391" max="5391" width="6" style="1" customWidth="1"/>
    <col min="5392" max="5392" width="5.42578125" style="1" customWidth="1"/>
    <col min="5393" max="5393" width="6.5703125" style="1" customWidth="1"/>
    <col min="5394" max="5394" width="5.5703125" style="1" customWidth="1"/>
    <col min="5395" max="5395" width="5.140625" style="1" customWidth="1"/>
    <col min="5396" max="5396" width="7" style="1" customWidth="1"/>
    <col min="5397" max="5397" width="5.140625" style="1" customWidth="1"/>
    <col min="5398" max="5398" width="5.7109375" style="1" customWidth="1"/>
    <col min="5399" max="5400" width="6" style="1" customWidth="1"/>
    <col min="5401" max="5401" width="5" style="1" customWidth="1"/>
    <col min="5402" max="5402" width="6.42578125" style="1" customWidth="1"/>
    <col min="5403" max="5403" width="9.28515625" style="1" customWidth="1"/>
    <col min="5404" max="5405" width="6.85546875" style="1" customWidth="1"/>
    <col min="5406" max="5406" width="19" style="1" customWidth="1"/>
    <col min="5407" max="5424" width="5.7109375" style="1" customWidth="1"/>
    <col min="5425" max="5425" width="9.28515625" style="1" customWidth="1"/>
    <col min="5426" max="5426" width="6.7109375" style="1" customWidth="1"/>
    <col min="5427" max="5428" width="6.28515625" style="1" customWidth="1"/>
    <col min="5429" max="5429" width="19.28515625" style="1" customWidth="1"/>
    <col min="5430" max="5444" width="5.7109375" style="1" customWidth="1"/>
    <col min="5445" max="5445" width="10.140625" style="1" customWidth="1"/>
    <col min="5446" max="5446" width="6.5703125" style="1" customWidth="1"/>
    <col min="5447" max="5459" width="5.7109375" style="1" customWidth="1"/>
    <col min="5460" max="5460" width="10.42578125" style="1" customWidth="1"/>
    <col min="5461" max="5461" width="6.7109375" style="1" customWidth="1"/>
    <col min="5462" max="5462" width="6.140625" style="1" customWidth="1"/>
    <col min="5463" max="5463" width="18.85546875" style="1" customWidth="1"/>
    <col min="5464" max="5634" width="8.42578125" style="1"/>
    <col min="5635" max="5635" width="10.42578125" style="1" customWidth="1"/>
    <col min="5636" max="5636" width="17.85546875" style="1" customWidth="1"/>
    <col min="5637" max="5637" width="10.5703125" style="1" customWidth="1"/>
    <col min="5638" max="5638" width="9.7109375" style="1" customWidth="1"/>
    <col min="5639" max="5643" width="8.28515625" style="1" customWidth="1"/>
    <col min="5644" max="5644" width="10" style="1" customWidth="1"/>
    <col min="5645" max="5645" width="8.28515625" style="1" customWidth="1"/>
    <col min="5646" max="5646" width="19.28515625" style="1" customWidth="1"/>
    <col min="5647" max="5647" width="6" style="1" customWidth="1"/>
    <col min="5648" max="5648" width="5.42578125" style="1" customWidth="1"/>
    <col min="5649" max="5649" width="6.5703125" style="1" customWidth="1"/>
    <col min="5650" max="5650" width="5.5703125" style="1" customWidth="1"/>
    <col min="5651" max="5651" width="5.140625" style="1" customWidth="1"/>
    <col min="5652" max="5652" width="7" style="1" customWidth="1"/>
    <col min="5653" max="5653" width="5.140625" style="1" customWidth="1"/>
    <col min="5654" max="5654" width="5.7109375" style="1" customWidth="1"/>
    <col min="5655" max="5656" width="6" style="1" customWidth="1"/>
    <col min="5657" max="5657" width="5" style="1" customWidth="1"/>
    <col min="5658" max="5658" width="6.42578125" style="1" customWidth="1"/>
    <col min="5659" max="5659" width="9.28515625" style="1" customWidth="1"/>
    <col min="5660" max="5661" width="6.85546875" style="1" customWidth="1"/>
    <col min="5662" max="5662" width="19" style="1" customWidth="1"/>
    <col min="5663" max="5680" width="5.7109375" style="1" customWidth="1"/>
    <col min="5681" max="5681" width="9.28515625" style="1" customWidth="1"/>
    <col min="5682" max="5682" width="6.7109375" style="1" customWidth="1"/>
    <col min="5683" max="5684" width="6.28515625" style="1" customWidth="1"/>
    <col min="5685" max="5685" width="19.28515625" style="1" customWidth="1"/>
    <col min="5686" max="5700" width="5.7109375" style="1" customWidth="1"/>
    <col min="5701" max="5701" width="10.140625" style="1" customWidth="1"/>
    <col min="5702" max="5702" width="6.5703125" style="1" customWidth="1"/>
    <col min="5703" max="5715" width="5.7109375" style="1" customWidth="1"/>
    <col min="5716" max="5716" width="10.42578125" style="1" customWidth="1"/>
    <col min="5717" max="5717" width="6.7109375" style="1" customWidth="1"/>
    <col min="5718" max="5718" width="6.140625" style="1" customWidth="1"/>
    <col min="5719" max="5719" width="18.85546875" style="1" customWidth="1"/>
    <col min="5720" max="5890" width="8.42578125" style="1"/>
    <col min="5891" max="5891" width="10.42578125" style="1" customWidth="1"/>
    <col min="5892" max="5892" width="17.85546875" style="1" customWidth="1"/>
    <col min="5893" max="5893" width="10.5703125" style="1" customWidth="1"/>
    <col min="5894" max="5894" width="9.7109375" style="1" customWidth="1"/>
    <col min="5895" max="5899" width="8.28515625" style="1" customWidth="1"/>
    <col min="5900" max="5900" width="10" style="1" customWidth="1"/>
    <col min="5901" max="5901" width="8.28515625" style="1" customWidth="1"/>
    <col min="5902" max="5902" width="19.28515625" style="1" customWidth="1"/>
    <col min="5903" max="5903" width="6" style="1" customWidth="1"/>
    <col min="5904" max="5904" width="5.42578125" style="1" customWidth="1"/>
    <col min="5905" max="5905" width="6.5703125" style="1" customWidth="1"/>
    <col min="5906" max="5906" width="5.5703125" style="1" customWidth="1"/>
    <col min="5907" max="5907" width="5.140625" style="1" customWidth="1"/>
    <col min="5908" max="5908" width="7" style="1" customWidth="1"/>
    <col min="5909" max="5909" width="5.140625" style="1" customWidth="1"/>
    <col min="5910" max="5910" width="5.7109375" style="1" customWidth="1"/>
    <col min="5911" max="5912" width="6" style="1" customWidth="1"/>
    <col min="5913" max="5913" width="5" style="1" customWidth="1"/>
    <col min="5914" max="5914" width="6.42578125" style="1" customWidth="1"/>
    <col min="5915" max="5915" width="9.28515625" style="1" customWidth="1"/>
    <col min="5916" max="5917" width="6.85546875" style="1" customWidth="1"/>
    <col min="5918" max="5918" width="19" style="1" customWidth="1"/>
    <col min="5919" max="5936" width="5.7109375" style="1" customWidth="1"/>
    <col min="5937" max="5937" width="9.28515625" style="1" customWidth="1"/>
    <col min="5938" max="5938" width="6.7109375" style="1" customWidth="1"/>
    <col min="5939" max="5940" width="6.28515625" style="1" customWidth="1"/>
    <col min="5941" max="5941" width="19.28515625" style="1" customWidth="1"/>
    <col min="5942" max="5956" width="5.7109375" style="1" customWidth="1"/>
    <col min="5957" max="5957" width="10.140625" style="1" customWidth="1"/>
    <col min="5958" max="5958" width="6.5703125" style="1" customWidth="1"/>
    <col min="5959" max="5971" width="5.7109375" style="1" customWidth="1"/>
    <col min="5972" max="5972" width="10.42578125" style="1" customWidth="1"/>
    <col min="5973" max="5973" width="6.7109375" style="1" customWidth="1"/>
    <col min="5974" max="5974" width="6.140625" style="1" customWidth="1"/>
    <col min="5975" max="5975" width="18.85546875" style="1" customWidth="1"/>
    <col min="5976" max="6146" width="8.42578125" style="1"/>
    <col min="6147" max="6147" width="10.42578125" style="1" customWidth="1"/>
    <col min="6148" max="6148" width="17.85546875" style="1" customWidth="1"/>
    <col min="6149" max="6149" width="10.5703125" style="1" customWidth="1"/>
    <col min="6150" max="6150" width="9.7109375" style="1" customWidth="1"/>
    <col min="6151" max="6155" width="8.28515625" style="1" customWidth="1"/>
    <col min="6156" max="6156" width="10" style="1" customWidth="1"/>
    <col min="6157" max="6157" width="8.28515625" style="1" customWidth="1"/>
    <col min="6158" max="6158" width="19.28515625" style="1" customWidth="1"/>
    <col min="6159" max="6159" width="6" style="1" customWidth="1"/>
    <col min="6160" max="6160" width="5.42578125" style="1" customWidth="1"/>
    <col min="6161" max="6161" width="6.5703125" style="1" customWidth="1"/>
    <col min="6162" max="6162" width="5.5703125" style="1" customWidth="1"/>
    <col min="6163" max="6163" width="5.140625" style="1" customWidth="1"/>
    <col min="6164" max="6164" width="7" style="1" customWidth="1"/>
    <col min="6165" max="6165" width="5.140625" style="1" customWidth="1"/>
    <col min="6166" max="6166" width="5.7109375" style="1" customWidth="1"/>
    <col min="6167" max="6168" width="6" style="1" customWidth="1"/>
    <col min="6169" max="6169" width="5" style="1" customWidth="1"/>
    <col min="6170" max="6170" width="6.42578125" style="1" customWidth="1"/>
    <col min="6171" max="6171" width="9.28515625" style="1" customWidth="1"/>
    <col min="6172" max="6173" width="6.85546875" style="1" customWidth="1"/>
    <col min="6174" max="6174" width="19" style="1" customWidth="1"/>
    <col min="6175" max="6192" width="5.7109375" style="1" customWidth="1"/>
    <col min="6193" max="6193" width="9.28515625" style="1" customWidth="1"/>
    <col min="6194" max="6194" width="6.7109375" style="1" customWidth="1"/>
    <col min="6195" max="6196" width="6.28515625" style="1" customWidth="1"/>
    <col min="6197" max="6197" width="19.28515625" style="1" customWidth="1"/>
    <col min="6198" max="6212" width="5.7109375" style="1" customWidth="1"/>
    <col min="6213" max="6213" width="10.140625" style="1" customWidth="1"/>
    <col min="6214" max="6214" width="6.5703125" style="1" customWidth="1"/>
    <col min="6215" max="6227" width="5.7109375" style="1" customWidth="1"/>
    <col min="6228" max="6228" width="10.42578125" style="1" customWidth="1"/>
    <col min="6229" max="6229" width="6.7109375" style="1" customWidth="1"/>
    <col min="6230" max="6230" width="6.140625" style="1" customWidth="1"/>
    <col min="6231" max="6231" width="18.85546875" style="1" customWidth="1"/>
    <col min="6232" max="6402" width="8.42578125" style="1"/>
    <col min="6403" max="6403" width="10.42578125" style="1" customWidth="1"/>
    <col min="6404" max="6404" width="17.85546875" style="1" customWidth="1"/>
    <col min="6405" max="6405" width="10.5703125" style="1" customWidth="1"/>
    <col min="6406" max="6406" width="9.7109375" style="1" customWidth="1"/>
    <col min="6407" max="6411" width="8.28515625" style="1" customWidth="1"/>
    <col min="6412" max="6412" width="10" style="1" customWidth="1"/>
    <col min="6413" max="6413" width="8.28515625" style="1" customWidth="1"/>
    <col min="6414" max="6414" width="19.28515625" style="1" customWidth="1"/>
    <col min="6415" max="6415" width="6" style="1" customWidth="1"/>
    <col min="6416" max="6416" width="5.42578125" style="1" customWidth="1"/>
    <col min="6417" max="6417" width="6.5703125" style="1" customWidth="1"/>
    <col min="6418" max="6418" width="5.5703125" style="1" customWidth="1"/>
    <col min="6419" max="6419" width="5.140625" style="1" customWidth="1"/>
    <col min="6420" max="6420" width="7" style="1" customWidth="1"/>
    <col min="6421" max="6421" width="5.140625" style="1" customWidth="1"/>
    <col min="6422" max="6422" width="5.7109375" style="1" customWidth="1"/>
    <col min="6423" max="6424" width="6" style="1" customWidth="1"/>
    <col min="6425" max="6425" width="5" style="1" customWidth="1"/>
    <col min="6426" max="6426" width="6.42578125" style="1" customWidth="1"/>
    <col min="6427" max="6427" width="9.28515625" style="1" customWidth="1"/>
    <col min="6428" max="6429" width="6.85546875" style="1" customWidth="1"/>
    <col min="6430" max="6430" width="19" style="1" customWidth="1"/>
    <col min="6431" max="6448" width="5.7109375" style="1" customWidth="1"/>
    <col min="6449" max="6449" width="9.28515625" style="1" customWidth="1"/>
    <col min="6450" max="6450" width="6.7109375" style="1" customWidth="1"/>
    <col min="6451" max="6452" width="6.28515625" style="1" customWidth="1"/>
    <col min="6453" max="6453" width="19.28515625" style="1" customWidth="1"/>
    <col min="6454" max="6468" width="5.7109375" style="1" customWidth="1"/>
    <col min="6469" max="6469" width="10.140625" style="1" customWidth="1"/>
    <col min="6470" max="6470" width="6.5703125" style="1" customWidth="1"/>
    <col min="6471" max="6483" width="5.7109375" style="1" customWidth="1"/>
    <col min="6484" max="6484" width="10.42578125" style="1" customWidth="1"/>
    <col min="6485" max="6485" width="6.7109375" style="1" customWidth="1"/>
    <col min="6486" max="6486" width="6.140625" style="1" customWidth="1"/>
    <col min="6487" max="6487" width="18.85546875" style="1" customWidth="1"/>
    <col min="6488" max="6658" width="8.42578125" style="1"/>
    <col min="6659" max="6659" width="10.42578125" style="1" customWidth="1"/>
    <col min="6660" max="6660" width="17.85546875" style="1" customWidth="1"/>
    <col min="6661" max="6661" width="10.5703125" style="1" customWidth="1"/>
    <col min="6662" max="6662" width="9.7109375" style="1" customWidth="1"/>
    <col min="6663" max="6667" width="8.28515625" style="1" customWidth="1"/>
    <col min="6668" max="6668" width="10" style="1" customWidth="1"/>
    <col min="6669" max="6669" width="8.28515625" style="1" customWidth="1"/>
    <col min="6670" max="6670" width="19.28515625" style="1" customWidth="1"/>
    <col min="6671" max="6671" width="6" style="1" customWidth="1"/>
    <col min="6672" max="6672" width="5.42578125" style="1" customWidth="1"/>
    <col min="6673" max="6673" width="6.5703125" style="1" customWidth="1"/>
    <col min="6674" max="6674" width="5.5703125" style="1" customWidth="1"/>
    <col min="6675" max="6675" width="5.140625" style="1" customWidth="1"/>
    <col min="6676" max="6676" width="7" style="1" customWidth="1"/>
    <col min="6677" max="6677" width="5.140625" style="1" customWidth="1"/>
    <col min="6678" max="6678" width="5.7109375" style="1" customWidth="1"/>
    <col min="6679" max="6680" width="6" style="1" customWidth="1"/>
    <col min="6681" max="6681" width="5" style="1" customWidth="1"/>
    <col min="6682" max="6682" width="6.42578125" style="1" customWidth="1"/>
    <col min="6683" max="6683" width="9.28515625" style="1" customWidth="1"/>
    <col min="6684" max="6685" width="6.85546875" style="1" customWidth="1"/>
    <col min="6686" max="6686" width="19" style="1" customWidth="1"/>
    <col min="6687" max="6704" width="5.7109375" style="1" customWidth="1"/>
    <col min="6705" max="6705" width="9.28515625" style="1" customWidth="1"/>
    <col min="6706" max="6706" width="6.7109375" style="1" customWidth="1"/>
    <col min="6707" max="6708" width="6.28515625" style="1" customWidth="1"/>
    <col min="6709" max="6709" width="19.28515625" style="1" customWidth="1"/>
    <col min="6710" max="6724" width="5.7109375" style="1" customWidth="1"/>
    <col min="6725" max="6725" width="10.140625" style="1" customWidth="1"/>
    <col min="6726" max="6726" width="6.5703125" style="1" customWidth="1"/>
    <col min="6727" max="6739" width="5.7109375" style="1" customWidth="1"/>
    <col min="6740" max="6740" width="10.42578125" style="1" customWidth="1"/>
    <col min="6741" max="6741" width="6.7109375" style="1" customWidth="1"/>
    <col min="6742" max="6742" width="6.140625" style="1" customWidth="1"/>
    <col min="6743" max="6743" width="18.85546875" style="1" customWidth="1"/>
    <col min="6744" max="6914" width="8.42578125" style="1"/>
    <col min="6915" max="6915" width="10.42578125" style="1" customWidth="1"/>
    <col min="6916" max="6916" width="17.85546875" style="1" customWidth="1"/>
    <col min="6917" max="6917" width="10.5703125" style="1" customWidth="1"/>
    <col min="6918" max="6918" width="9.7109375" style="1" customWidth="1"/>
    <col min="6919" max="6923" width="8.28515625" style="1" customWidth="1"/>
    <col min="6924" max="6924" width="10" style="1" customWidth="1"/>
    <col min="6925" max="6925" width="8.28515625" style="1" customWidth="1"/>
    <col min="6926" max="6926" width="19.28515625" style="1" customWidth="1"/>
    <col min="6927" max="6927" width="6" style="1" customWidth="1"/>
    <col min="6928" max="6928" width="5.42578125" style="1" customWidth="1"/>
    <col min="6929" max="6929" width="6.5703125" style="1" customWidth="1"/>
    <col min="6930" max="6930" width="5.5703125" style="1" customWidth="1"/>
    <col min="6931" max="6931" width="5.140625" style="1" customWidth="1"/>
    <col min="6932" max="6932" width="7" style="1" customWidth="1"/>
    <col min="6933" max="6933" width="5.140625" style="1" customWidth="1"/>
    <col min="6934" max="6934" width="5.7109375" style="1" customWidth="1"/>
    <col min="6935" max="6936" width="6" style="1" customWidth="1"/>
    <col min="6937" max="6937" width="5" style="1" customWidth="1"/>
    <col min="6938" max="6938" width="6.42578125" style="1" customWidth="1"/>
    <col min="6939" max="6939" width="9.28515625" style="1" customWidth="1"/>
    <col min="6940" max="6941" width="6.85546875" style="1" customWidth="1"/>
    <col min="6942" max="6942" width="19" style="1" customWidth="1"/>
    <col min="6943" max="6960" width="5.7109375" style="1" customWidth="1"/>
    <col min="6961" max="6961" width="9.28515625" style="1" customWidth="1"/>
    <col min="6962" max="6962" width="6.7109375" style="1" customWidth="1"/>
    <col min="6963" max="6964" width="6.28515625" style="1" customWidth="1"/>
    <col min="6965" max="6965" width="19.28515625" style="1" customWidth="1"/>
    <col min="6966" max="6980" width="5.7109375" style="1" customWidth="1"/>
    <col min="6981" max="6981" width="10.140625" style="1" customWidth="1"/>
    <col min="6982" max="6982" width="6.5703125" style="1" customWidth="1"/>
    <col min="6983" max="6995" width="5.7109375" style="1" customWidth="1"/>
    <col min="6996" max="6996" width="10.42578125" style="1" customWidth="1"/>
    <col min="6997" max="6997" width="6.7109375" style="1" customWidth="1"/>
    <col min="6998" max="6998" width="6.140625" style="1" customWidth="1"/>
    <col min="6999" max="6999" width="18.85546875" style="1" customWidth="1"/>
    <col min="7000" max="7170" width="8.42578125" style="1"/>
    <col min="7171" max="7171" width="10.42578125" style="1" customWidth="1"/>
    <col min="7172" max="7172" width="17.85546875" style="1" customWidth="1"/>
    <col min="7173" max="7173" width="10.5703125" style="1" customWidth="1"/>
    <col min="7174" max="7174" width="9.7109375" style="1" customWidth="1"/>
    <col min="7175" max="7179" width="8.28515625" style="1" customWidth="1"/>
    <col min="7180" max="7180" width="10" style="1" customWidth="1"/>
    <col min="7181" max="7181" width="8.28515625" style="1" customWidth="1"/>
    <col min="7182" max="7182" width="19.28515625" style="1" customWidth="1"/>
    <col min="7183" max="7183" width="6" style="1" customWidth="1"/>
    <col min="7184" max="7184" width="5.42578125" style="1" customWidth="1"/>
    <col min="7185" max="7185" width="6.5703125" style="1" customWidth="1"/>
    <col min="7186" max="7186" width="5.5703125" style="1" customWidth="1"/>
    <col min="7187" max="7187" width="5.140625" style="1" customWidth="1"/>
    <col min="7188" max="7188" width="7" style="1" customWidth="1"/>
    <col min="7189" max="7189" width="5.140625" style="1" customWidth="1"/>
    <col min="7190" max="7190" width="5.7109375" style="1" customWidth="1"/>
    <col min="7191" max="7192" width="6" style="1" customWidth="1"/>
    <col min="7193" max="7193" width="5" style="1" customWidth="1"/>
    <col min="7194" max="7194" width="6.42578125" style="1" customWidth="1"/>
    <col min="7195" max="7195" width="9.28515625" style="1" customWidth="1"/>
    <col min="7196" max="7197" width="6.85546875" style="1" customWidth="1"/>
    <col min="7198" max="7198" width="19" style="1" customWidth="1"/>
    <col min="7199" max="7216" width="5.7109375" style="1" customWidth="1"/>
    <col min="7217" max="7217" width="9.28515625" style="1" customWidth="1"/>
    <col min="7218" max="7218" width="6.7109375" style="1" customWidth="1"/>
    <col min="7219" max="7220" width="6.28515625" style="1" customWidth="1"/>
    <col min="7221" max="7221" width="19.28515625" style="1" customWidth="1"/>
    <col min="7222" max="7236" width="5.7109375" style="1" customWidth="1"/>
    <col min="7237" max="7237" width="10.140625" style="1" customWidth="1"/>
    <col min="7238" max="7238" width="6.5703125" style="1" customWidth="1"/>
    <col min="7239" max="7251" width="5.7109375" style="1" customWidth="1"/>
    <col min="7252" max="7252" width="10.42578125" style="1" customWidth="1"/>
    <col min="7253" max="7253" width="6.7109375" style="1" customWidth="1"/>
    <col min="7254" max="7254" width="6.140625" style="1" customWidth="1"/>
    <col min="7255" max="7255" width="18.85546875" style="1" customWidth="1"/>
    <col min="7256" max="7426" width="8.42578125" style="1"/>
    <col min="7427" max="7427" width="10.42578125" style="1" customWidth="1"/>
    <col min="7428" max="7428" width="17.85546875" style="1" customWidth="1"/>
    <col min="7429" max="7429" width="10.5703125" style="1" customWidth="1"/>
    <col min="7430" max="7430" width="9.7109375" style="1" customWidth="1"/>
    <col min="7431" max="7435" width="8.28515625" style="1" customWidth="1"/>
    <col min="7436" max="7436" width="10" style="1" customWidth="1"/>
    <col min="7437" max="7437" width="8.28515625" style="1" customWidth="1"/>
    <col min="7438" max="7438" width="19.28515625" style="1" customWidth="1"/>
    <col min="7439" max="7439" width="6" style="1" customWidth="1"/>
    <col min="7440" max="7440" width="5.42578125" style="1" customWidth="1"/>
    <col min="7441" max="7441" width="6.5703125" style="1" customWidth="1"/>
    <col min="7442" max="7442" width="5.5703125" style="1" customWidth="1"/>
    <col min="7443" max="7443" width="5.140625" style="1" customWidth="1"/>
    <col min="7444" max="7444" width="7" style="1" customWidth="1"/>
    <col min="7445" max="7445" width="5.140625" style="1" customWidth="1"/>
    <col min="7446" max="7446" width="5.7109375" style="1" customWidth="1"/>
    <col min="7447" max="7448" width="6" style="1" customWidth="1"/>
    <col min="7449" max="7449" width="5" style="1" customWidth="1"/>
    <col min="7450" max="7450" width="6.42578125" style="1" customWidth="1"/>
    <col min="7451" max="7451" width="9.28515625" style="1" customWidth="1"/>
    <col min="7452" max="7453" width="6.85546875" style="1" customWidth="1"/>
    <col min="7454" max="7454" width="19" style="1" customWidth="1"/>
    <col min="7455" max="7472" width="5.7109375" style="1" customWidth="1"/>
    <col min="7473" max="7473" width="9.28515625" style="1" customWidth="1"/>
    <col min="7474" max="7474" width="6.7109375" style="1" customWidth="1"/>
    <col min="7475" max="7476" width="6.28515625" style="1" customWidth="1"/>
    <col min="7477" max="7477" width="19.28515625" style="1" customWidth="1"/>
    <col min="7478" max="7492" width="5.7109375" style="1" customWidth="1"/>
    <col min="7493" max="7493" width="10.140625" style="1" customWidth="1"/>
    <col min="7494" max="7494" width="6.5703125" style="1" customWidth="1"/>
    <col min="7495" max="7507" width="5.7109375" style="1" customWidth="1"/>
    <col min="7508" max="7508" width="10.42578125" style="1" customWidth="1"/>
    <col min="7509" max="7509" width="6.7109375" style="1" customWidth="1"/>
    <col min="7510" max="7510" width="6.140625" style="1" customWidth="1"/>
    <col min="7511" max="7511" width="18.85546875" style="1" customWidth="1"/>
    <col min="7512" max="7682" width="8.42578125" style="1"/>
    <col min="7683" max="7683" width="10.42578125" style="1" customWidth="1"/>
    <col min="7684" max="7684" width="17.85546875" style="1" customWidth="1"/>
    <col min="7685" max="7685" width="10.5703125" style="1" customWidth="1"/>
    <col min="7686" max="7686" width="9.7109375" style="1" customWidth="1"/>
    <col min="7687" max="7691" width="8.28515625" style="1" customWidth="1"/>
    <col min="7692" max="7692" width="10" style="1" customWidth="1"/>
    <col min="7693" max="7693" width="8.28515625" style="1" customWidth="1"/>
    <col min="7694" max="7694" width="19.28515625" style="1" customWidth="1"/>
    <col min="7695" max="7695" width="6" style="1" customWidth="1"/>
    <col min="7696" max="7696" width="5.42578125" style="1" customWidth="1"/>
    <col min="7697" max="7697" width="6.5703125" style="1" customWidth="1"/>
    <col min="7698" max="7698" width="5.5703125" style="1" customWidth="1"/>
    <col min="7699" max="7699" width="5.140625" style="1" customWidth="1"/>
    <col min="7700" max="7700" width="7" style="1" customWidth="1"/>
    <col min="7701" max="7701" width="5.140625" style="1" customWidth="1"/>
    <col min="7702" max="7702" width="5.7109375" style="1" customWidth="1"/>
    <col min="7703" max="7704" width="6" style="1" customWidth="1"/>
    <col min="7705" max="7705" width="5" style="1" customWidth="1"/>
    <col min="7706" max="7706" width="6.42578125" style="1" customWidth="1"/>
    <col min="7707" max="7707" width="9.28515625" style="1" customWidth="1"/>
    <col min="7708" max="7709" width="6.85546875" style="1" customWidth="1"/>
    <col min="7710" max="7710" width="19" style="1" customWidth="1"/>
    <col min="7711" max="7728" width="5.7109375" style="1" customWidth="1"/>
    <col min="7729" max="7729" width="9.28515625" style="1" customWidth="1"/>
    <col min="7730" max="7730" width="6.7109375" style="1" customWidth="1"/>
    <col min="7731" max="7732" width="6.28515625" style="1" customWidth="1"/>
    <col min="7733" max="7733" width="19.28515625" style="1" customWidth="1"/>
    <col min="7734" max="7748" width="5.7109375" style="1" customWidth="1"/>
    <col min="7749" max="7749" width="10.140625" style="1" customWidth="1"/>
    <col min="7750" max="7750" width="6.5703125" style="1" customWidth="1"/>
    <col min="7751" max="7763" width="5.7109375" style="1" customWidth="1"/>
    <col min="7764" max="7764" width="10.42578125" style="1" customWidth="1"/>
    <col min="7765" max="7765" width="6.7109375" style="1" customWidth="1"/>
    <col min="7766" max="7766" width="6.140625" style="1" customWidth="1"/>
    <col min="7767" max="7767" width="18.85546875" style="1" customWidth="1"/>
    <col min="7768" max="7938" width="8.42578125" style="1"/>
    <col min="7939" max="7939" width="10.42578125" style="1" customWidth="1"/>
    <col min="7940" max="7940" width="17.85546875" style="1" customWidth="1"/>
    <col min="7941" max="7941" width="10.5703125" style="1" customWidth="1"/>
    <col min="7942" max="7942" width="9.7109375" style="1" customWidth="1"/>
    <col min="7943" max="7947" width="8.28515625" style="1" customWidth="1"/>
    <col min="7948" max="7948" width="10" style="1" customWidth="1"/>
    <col min="7949" max="7949" width="8.28515625" style="1" customWidth="1"/>
    <col min="7950" max="7950" width="19.28515625" style="1" customWidth="1"/>
    <col min="7951" max="7951" width="6" style="1" customWidth="1"/>
    <col min="7952" max="7952" width="5.42578125" style="1" customWidth="1"/>
    <col min="7953" max="7953" width="6.5703125" style="1" customWidth="1"/>
    <col min="7954" max="7954" width="5.5703125" style="1" customWidth="1"/>
    <col min="7955" max="7955" width="5.140625" style="1" customWidth="1"/>
    <col min="7956" max="7956" width="7" style="1" customWidth="1"/>
    <col min="7957" max="7957" width="5.140625" style="1" customWidth="1"/>
    <col min="7958" max="7958" width="5.7109375" style="1" customWidth="1"/>
    <col min="7959" max="7960" width="6" style="1" customWidth="1"/>
    <col min="7961" max="7961" width="5" style="1" customWidth="1"/>
    <col min="7962" max="7962" width="6.42578125" style="1" customWidth="1"/>
    <col min="7963" max="7963" width="9.28515625" style="1" customWidth="1"/>
    <col min="7964" max="7965" width="6.85546875" style="1" customWidth="1"/>
    <col min="7966" max="7966" width="19" style="1" customWidth="1"/>
    <col min="7967" max="7984" width="5.7109375" style="1" customWidth="1"/>
    <col min="7985" max="7985" width="9.28515625" style="1" customWidth="1"/>
    <col min="7986" max="7986" width="6.7109375" style="1" customWidth="1"/>
    <col min="7987" max="7988" width="6.28515625" style="1" customWidth="1"/>
    <col min="7989" max="7989" width="19.28515625" style="1" customWidth="1"/>
    <col min="7990" max="8004" width="5.7109375" style="1" customWidth="1"/>
    <col min="8005" max="8005" width="10.140625" style="1" customWidth="1"/>
    <col min="8006" max="8006" width="6.5703125" style="1" customWidth="1"/>
    <col min="8007" max="8019" width="5.7109375" style="1" customWidth="1"/>
    <col min="8020" max="8020" width="10.42578125" style="1" customWidth="1"/>
    <col min="8021" max="8021" width="6.7109375" style="1" customWidth="1"/>
    <col min="8022" max="8022" width="6.140625" style="1" customWidth="1"/>
    <col min="8023" max="8023" width="18.85546875" style="1" customWidth="1"/>
    <col min="8024" max="8194" width="8.42578125" style="1"/>
    <col min="8195" max="8195" width="10.42578125" style="1" customWidth="1"/>
    <col min="8196" max="8196" width="17.85546875" style="1" customWidth="1"/>
    <col min="8197" max="8197" width="10.5703125" style="1" customWidth="1"/>
    <col min="8198" max="8198" width="9.7109375" style="1" customWidth="1"/>
    <col min="8199" max="8203" width="8.28515625" style="1" customWidth="1"/>
    <col min="8204" max="8204" width="10" style="1" customWidth="1"/>
    <col min="8205" max="8205" width="8.28515625" style="1" customWidth="1"/>
    <col min="8206" max="8206" width="19.28515625" style="1" customWidth="1"/>
    <col min="8207" max="8207" width="6" style="1" customWidth="1"/>
    <col min="8208" max="8208" width="5.42578125" style="1" customWidth="1"/>
    <col min="8209" max="8209" width="6.5703125" style="1" customWidth="1"/>
    <col min="8210" max="8210" width="5.5703125" style="1" customWidth="1"/>
    <col min="8211" max="8211" width="5.140625" style="1" customWidth="1"/>
    <col min="8212" max="8212" width="7" style="1" customWidth="1"/>
    <col min="8213" max="8213" width="5.140625" style="1" customWidth="1"/>
    <col min="8214" max="8214" width="5.7109375" style="1" customWidth="1"/>
    <col min="8215" max="8216" width="6" style="1" customWidth="1"/>
    <col min="8217" max="8217" width="5" style="1" customWidth="1"/>
    <col min="8218" max="8218" width="6.42578125" style="1" customWidth="1"/>
    <col min="8219" max="8219" width="9.28515625" style="1" customWidth="1"/>
    <col min="8220" max="8221" width="6.85546875" style="1" customWidth="1"/>
    <col min="8222" max="8222" width="19" style="1" customWidth="1"/>
    <col min="8223" max="8240" width="5.7109375" style="1" customWidth="1"/>
    <col min="8241" max="8241" width="9.28515625" style="1" customWidth="1"/>
    <col min="8242" max="8242" width="6.7109375" style="1" customWidth="1"/>
    <col min="8243" max="8244" width="6.28515625" style="1" customWidth="1"/>
    <col min="8245" max="8245" width="19.28515625" style="1" customWidth="1"/>
    <col min="8246" max="8260" width="5.7109375" style="1" customWidth="1"/>
    <col min="8261" max="8261" width="10.140625" style="1" customWidth="1"/>
    <col min="8262" max="8262" width="6.5703125" style="1" customWidth="1"/>
    <col min="8263" max="8275" width="5.7109375" style="1" customWidth="1"/>
    <col min="8276" max="8276" width="10.42578125" style="1" customWidth="1"/>
    <col min="8277" max="8277" width="6.7109375" style="1" customWidth="1"/>
    <col min="8278" max="8278" width="6.140625" style="1" customWidth="1"/>
    <col min="8279" max="8279" width="18.85546875" style="1" customWidth="1"/>
    <col min="8280" max="8450" width="8.42578125" style="1"/>
    <col min="8451" max="8451" width="10.42578125" style="1" customWidth="1"/>
    <col min="8452" max="8452" width="17.85546875" style="1" customWidth="1"/>
    <col min="8453" max="8453" width="10.5703125" style="1" customWidth="1"/>
    <col min="8454" max="8454" width="9.7109375" style="1" customWidth="1"/>
    <col min="8455" max="8459" width="8.28515625" style="1" customWidth="1"/>
    <col min="8460" max="8460" width="10" style="1" customWidth="1"/>
    <col min="8461" max="8461" width="8.28515625" style="1" customWidth="1"/>
    <col min="8462" max="8462" width="19.28515625" style="1" customWidth="1"/>
    <col min="8463" max="8463" width="6" style="1" customWidth="1"/>
    <col min="8464" max="8464" width="5.42578125" style="1" customWidth="1"/>
    <col min="8465" max="8465" width="6.5703125" style="1" customWidth="1"/>
    <col min="8466" max="8466" width="5.5703125" style="1" customWidth="1"/>
    <col min="8467" max="8467" width="5.140625" style="1" customWidth="1"/>
    <col min="8468" max="8468" width="7" style="1" customWidth="1"/>
    <col min="8469" max="8469" width="5.140625" style="1" customWidth="1"/>
    <col min="8470" max="8470" width="5.7109375" style="1" customWidth="1"/>
    <col min="8471" max="8472" width="6" style="1" customWidth="1"/>
    <col min="8473" max="8473" width="5" style="1" customWidth="1"/>
    <col min="8474" max="8474" width="6.42578125" style="1" customWidth="1"/>
    <col min="8475" max="8475" width="9.28515625" style="1" customWidth="1"/>
    <col min="8476" max="8477" width="6.85546875" style="1" customWidth="1"/>
    <col min="8478" max="8478" width="19" style="1" customWidth="1"/>
    <col min="8479" max="8496" width="5.7109375" style="1" customWidth="1"/>
    <col min="8497" max="8497" width="9.28515625" style="1" customWidth="1"/>
    <col min="8498" max="8498" width="6.7109375" style="1" customWidth="1"/>
    <col min="8499" max="8500" width="6.28515625" style="1" customWidth="1"/>
    <col min="8501" max="8501" width="19.28515625" style="1" customWidth="1"/>
    <col min="8502" max="8516" width="5.7109375" style="1" customWidth="1"/>
    <col min="8517" max="8517" width="10.140625" style="1" customWidth="1"/>
    <col min="8518" max="8518" width="6.5703125" style="1" customWidth="1"/>
    <col min="8519" max="8531" width="5.7109375" style="1" customWidth="1"/>
    <col min="8532" max="8532" width="10.42578125" style="1" customWidth="1"/>
    <col min="8533" max="8533" width="6.7109375" style="1" customWidth="1"/>
    <col min="8534" max="8534" width="6.140625" style="1" customWidth="1"/>
    <col min="8535" max="8535" width="18.85546875" style="1" customWidth="1"/>
    <col min="8536" max="8706" width="8.42578125" style="1"/>
    <col min="8707" max="8707" width="10.42578125" style="1" customWidth="1"/>
    <col min="8708" max="8708" width="17.85546875" style="1" customWidth="1"/>
    <col min="8709" max="8709" width="10.5703125" style="1" customWidth="1"/>
    <col min="8710" max="8710" width="9.7109375" style="1" customWidth="1"/>
    <col min="8711" max="8715" width="8.28515625" style="1" customWidth="1"/>
    <col min="8716" max="8716" width="10" style="1" customWidth="1"/>
    <col min="8717" max="8717" width="8.28515625" style="1" customWidth="1"/>
    <col min="8718" max="8718" width="19.28515625" style="1" customWidth="1"/>
    <col min="8719" max="8719" width="6" style="1" customWidth="1"/>
    <col min="8720" max="8720" width="5.42578125" style="1" customWidth="1"/>
    <col min="8721" max="8721" width="6.5703125" style="1" customWidth="1"/>
    <col min="8722" max="8722" width="5.5703125" style="1" customWidth="1"/>
    <col min="8723" max="8723" width="5.140625" style="1" customWidth="1"/>
    <col min="8724" max="8724" width="7" style="1" customWidth="1"/>
    <col min="8725" max="8725" width="5.140625" style="1" customWidth="1"/>
    <col min="8726" max="8726" width="5.7109375" style="1" customWidth="1"/>
    <col min="8727" max="8728" width="6" style="1" customWidth="1"/>
    <col min="8729" max="8729" width="5" style="1" customWidth="1"/>
    <col min="8730" max="8730" width="6.42578125" style="1" customWidth="1"/>
    <col min="8731" max="8731" width="9.28515625" style="1" customWidth="1"/>
    <col min="8732" max="8733" width="6.85546875" style="1" customWidth="1"/>
    <col min="8734" max="8734" width="19" style="1" customWidth="1"/>
    <col min="8735" max="8752" width="5.7109375" style="1" customWidth="1"/>
    <col min="8753" max="8753" width="9.28515625" style="1" customWidth="1"/>
    <col min="8754" max="8754" width="6.7109375" style="1" customWidth="1"/>
    <col min="8755" max="8756" width="6.28515625" style="1" customWidth="1"/>
    <col min="8757" max="8757" width="19.28515625" style="1" customWidth="1"/>
    <col min="8758" max="8772" width="5.7109375" style="1" customWidth="1"/>
    <col min="8773" max="8773" width="10.140625" style="1" customWidth="1"/>
    <col min="8774" max="8774" width="6.5703125" style="1" customWidth="1"/>
    <col min="8775" max="8787" width="5.7109375" style="1" customWidth="1"/>
    <col min="8788" max="8788" width="10.42578125" style="1" customWidth="1"/>
    <col min="8789" max="8789" width="6.7109375" style="1" customWidth="1"/>
    <col min="8790" max="8790" width="6.140625" style="1" customWidth="1"/>
    <col min="8791" max="8791" width="18.85546875" style="1" customWidth="1"/>
    <col min="8792" max="8962" width="8.42578125" style="1"/>
    <col min="8963" max="8963" width="10.42578125" style="1" customWidth="1"/>
    <col min="8964" max="8964" width="17.85546875" style="1" customWidth="1"/>
    <col min="8965" max="8965" width="10.5703125" style="1" customWidth="1"/>
    <col min="8966" max="8966" width="9.7109375" style="1" customWidth="1"/>
    <col min="8967" max="8971" width="8.28515625" style="1" customWidth="1"/>
    <col min="8972" max="8972" width="10" style="1" customWidth="1"/>
    <col min="8973" max="8973" width="8.28515625" style="1" customWidth="1"/>
    <col min="8974" max="8974" width="19.28515625" style="1" customWidth="1"/>
    <col min="8975" max="8975" width="6" style="1" customWidth="1"/>
    <col min="8976" max="8976" width="5.42578125" style="1" customWidth="1"/>
    <col min="8977" max="8977" width="6.5703125" style="1" customWidth="1"/>
    <col min="8978" max="8978" width="5.5703125" style="1" customWidth="1"/>
    <col min="8979" max="8979" width="5.140625" style="1" customWidth="1"/>
    <col min="8980" max="8980" width="7" style="1" customWidth="1"/>
    <col min="8981" max="8981" width="5.140625" style="1" customWidth="1"/>
    <col min="8982" max="8982" width="5.7109375" style="1" customWidth="1"/>
    <col min="8983" max="8984" width="6" style="1" customWidth="1"/>
    <col min="8985" max="8985" width="5" style="1" customWidth="1"/>
    <col min="8986" max="8986" width="6.42578125" style="1" customWidth="1"/>
    <col min="8987" max="8987" width="9.28515625" style="1" customWidth="1"/>
    <col min="8988" max="8989" width="6.85546875" style="1" customWidth="1"/>
    <col min="8990" max="8990" width="19" style="1" customWidth="1"/>
    <col min="8991" max="9008" width="5.7109375" style="1" customWidth="1"/>
    <col min="9009" max="9009" width="9.28515625" style="1" customWidth="1"/>
    <col min="9010" max="9010" width="6.7109375" style="1" customWidth="1"/>
    <col min="9011" max="9012" width="6.28515625" style="1" customWidth="1"/>
    <col min="9013" max="9013" width="19.28515625" style="1" customWidth="1"/>
    <col min="9014" max="9028" width="5.7109375" style="1" customWidth="1"/>
    <col min="9029" max="9029" width="10.140625" style="1" customWidth="1"/>
    <col min="9030" max="9030" width="6.5703125" style="1" customWidth="1"/>
    <col min="9031" max="9043" width="5.7109375" style="1" customWidth="1"/>
    <col min="9044" max="9044" width="10.42578125" style="1" customWidth="1"/>
    <col min="9045" max="9045" width="6.7109375" style="1" customWidth="1"/>
    <col min="9046" max="9046" width="6.140625" style="1" customWidth="1"/>
    <col min="9047" max="9047" width="18.85546875" style="1" customWidth="1"/>
    <col min="9048" max="9218" width="8.42578125" style="1"/>
    <col min="9219" max="9219" width="10.42578125" style="1" customWidth="1"/>
    <col min="9220" max="9220" width="17.85546875" style="1" customWidth="1"/>
    <col min="9221" max="9221" width="10.5703125" style="1" customWidth="1"/>
    <col min="9222" max="9222" width="9.7109375" style="1" customWidth="1"/>
    <col min="9223" max="9227" width="8.28515625" style="1" customWidth="1"/>
    <col min="9228" max="9228" width="10" style="1" customWidth="1"/>
    <col min="9229" max="9229" width="8.28515625" style="1" customWidth="1"/>
    <col min="9230" max="9230" width="19.28515625" style="1" customWidth="1"/>
    <col min="9231" max="9231" width="6" style="1" customWidth="1"/>
    <col min="9232" max="9232" width="5.42578125" style="1" customWidth="1"/>
    <col min="9233" max="9233" width="6.5703125" style="1" customWidth="1"/>
    <col min="9234" max="9234" width="5.5703125" style="1" customWidth="1"/>
    <col min="9235" max="9235" width="5.140625" style="1" customWidth="1"/>
    <col min="9236" max="9236" width="7" style="1" customWidth="1"/>
    <col min="9237" max="9237" width="5.140625" style="1" customWidth="1"/>
    <col min="9238" max="9238" width="5.7109375" style="1" customWidth="1"/>
    <col min="9239" max="9240" width="6" style="1" customWidth="1"/>
    <col min="9241" max="9241" width="5" style="1" customWidth="1"/>
    <col min="9242" max="9242" width="6.42578125" style="1" customWidth="1"/>
    <col min="9243" max="9243" width="9.28515625" style="1" customWidth="1"/>
    <col min="9244" max="9245" width="6.85546875" style="1" customWidth="1"/>
    <col min="9246" max="9246" width="19" style="1" customWidth="1"/>
    <col min="9247" max="9264" width="5.7109375" style="1" customWidth="1"/>
    <col min="9265" max="9265" width="9.28515625" style="1" customWidth="1"/>
    <col min="9266" max="9266" width="6.7109375" style="1" customWidth="1"/>
    <col min="9267" max="9268" width="6.28515625" style="1" customWidth="1"/>
    <col min="9269" max="9269" width="19.28515625" style="1" customWidth="1"/>
    <col min="9270" max="9284" width="5.7109375" style="1" customWidth="1"/>
    <col min="9285" max="9285" width="10.140625" style="1" customWidth="1"/>
    <col min="9286" max="9286" width="6.5703125" style="1" customWidth="1"/>
    <col min="9287" max="9299" width="5.7109375" style="1" customWidth="1"/>
    <col min="9300" max="9300" width="10.42578125" style="1" customWidth="1"/>
    <col min="9301" max="9301" width="6.7109375" style="1" customWidth="1"/>
    <col min="9302" max="9302" width="6.140625" style="1" customWidth="1"/>
    <col min="9303" max="9303" width="18.85546875" style="1" customWidth="1"/>
    <col min="9304" max="9474" width="8.42578125" style="1"/>
    <col min="9475" max="9475" width="10.42578125" style="1" customWidth="1"/>
    <col min="9476" max="9476" width="17.85546875" style="1" customWidth="1"/>
    <col min="9477" max="9477" width="10.5703125" style="1" customWidth="1"/>
    <col min="9478" max="9478" width="9.7109375" style="1" customWidth="1"/>
    <col min="9479" max="9483" width="8.28515625" style="1" customWidth="1"/>
    <col min="9484" max="9484" width="10" style="1" customWidth="1"/>
    <col min="9485" max="9485" width="8.28515625" style="1" customWidth="1"/>
    <col min="9486" max="9486" width="19.28515625" style="1" customWidth="1"/>
    <col min="9487" max="9487" width="6" style="1" customWidth="1"/>
    <col min="9488" max="9488" width="5.42578125" style="1" customWidth="1"/>
    <col min="9489" max="9489" width="6.5703125" style="1" customWidth="1"/>
    <col min="9490" max="9490" width="5.5703125" style="1" customWidth="1"/>
    <col min="9491" max="9491" width="5.140625" style="1" customWidth="1"/>
    <col min="9492" max="9492" width="7" style="1" customWidth="1"/>
    <col min="9493" max="9493" width="5.140625" style="1" customWidth="1"/>
    <col min="9494" max="9494" width="5.7109375" style="1" customWidth="1"/>
    <col min="9495" max="9496" width="6" style="1" customWidth="1"/>
    <col min="9497" max="9497" width="5" style="1" customWidth="1"/>
    <col min="9498" max="9498" width="6.42578125" style="1" customWidth="1"/>
    <col min="9499" max="9499" width="9.28515625" style="1" customWidth="1"/>
    <col min="9500" max="9501" width="6.85546875" style="1" customWidth="1"/>
    <col min="9502" max="9502" width="19" style="1" customWidth="1"/>
    <col min="9503" max="9520" width="5.7109375" style="1" customWidth="1"/>
    <col min="9521" max="9521" width="9.28515625" style="1" customWidth="1"/>
    <col min="9522" max="9522" width="6.7109375" style="1" customWidth="1"/>
    <col min="9523" max="9524" width="6.28515625" style="1" customWidth="1"/>
    <col min="9525" max="9525" width="19.28515625" style="1" customWidth="1"/>
    <col min="9526" max="9540" width="5.7109375" style="1" customWidth="1"/>
    <col min="9541" max="9541" width="10.140625" style="1" customWidth="1"/>
    <col min="9542" max="9542" width="6.5703125" style="1" customWidth="1"/>
    <col min="9543" max="9555" width="5.7109375" style="1" customWidth="1"/>
    <col min="9556" max="9556" width="10.42578125" style="1" customWidth="1"/>
    <col min="9557" max="9557" width="6.7109375" style="1" customWidth="1"/>
    <col min="9558" max="9558" width="6.140625" style="1" customWidth="1"/>
    <col min="9559" max="9559" width="18.85546875" style="1" customWidth="1"/>
    <col min="9560" max="9730" width="8.42578125" style="1"/>
    <col min="9731" max="9731" width="10.42578125" style="1" customWidth="1"/>
    <col min="9732" max="9732" width="17.85546875" style="1" customWidth="1"/>
    <col min="9733" max="9733" width="10.5703125" style="1" customWidth="1"/>
    <col min="9734" max="9734" width="9.7109375" style="1" customWidth="1"/>
    <col min="9735" max="9739" width="8.28515625" style="1" customWidth="1"/>
    <col min="9740" max="9740" width="10" style="1" customWidth="1"/>
    <col min="9741" max="9741" width="8.28515625" style="1" customWidth="1"/>
    <col min="9742" max="9742" width="19.28515625" style="1" customWidth="1"/>
    <col min="9743" max="9743" width="6" style="1" customWidth="1"/>
    <col min="9744" max="9744" width="5.42578125" style="1" customWidth="1"/>
    <col min="9745" max="9745" width="6.5703125" style="1" customWidth="1"/>
    <col min="9746" max="9746" width="5.5703125" style="1" customWidth="1"/>
    <col min="9747" max="9747" width="5.140625" style="1" customWidth="1"/>
    <col min="9748" max="9748" width="7" style="1" customWidth="1"/>
    <col min="9749" max="9749" width="5.140625" style="1" customWidth="1"/>
    <col min="9750" max="9750" width="5.7109375" style="1" customWidth="1"/>
    <col min="9751" max="9752" width="6" style="1" customWidth="1"/>
    <col min="9753" max="9753" width="5" style="1" customWidth="1"/>
    <col min="9754" max="9754" width="6.42578125" style="1" customWidth="1"/>
    <col min="9755" max="9755" width="9.28515625" style="1" customWidth="1"/>
    <col min="9756" max="9757" width="6.85546875" style="1" customWidth="1"/>
    <col min="9758" max="9758" width="19" style="1" customWidth="1"/>
    <col min="9759" max="9776" width="5.7109375" style="1" customWidth="1"/>
    <col min="9777" max="9777" width="9.28515625" style="1" customWidth="1"/>
    <col min="9778" max="9778" width="6.7109375" style="1" customWidth="1"/>
    <col min="9779" max="9780" width="6.28515625" style="1" customWidth="1"/>
    <col min="9781" max="9781" width="19.28515625" style="1" customWidth="1"/>
    <col min="9782" max="9796" width="5.7109375" style="1" customWidth="1"/>
    <col min="9797" max="9797" width="10.140625" style="1" customWidth="1"/>
    <col min="9798" max="9798" width="6.5703125" style="1" customWidth="1"/>
    <col min="9799" max="9811" width="5.7109375" style="1" customWidth="1"/>
    <col min="9812" max="9812" width="10.42578125" style="1" customWidth="1"/>
    <col min="9813" max="9813" width="6.7109375" style="1" customWidth="1"/>
    <col min="9814" max="9814" width="6.140625" style="1" customWidth="1"/>
    <col min="9815" max="9815" width="18.85546875" style="1" customWidth="1"/>
    <col min="9816" max="9986" width="8.42578125" style="1"/>
    <col min="9987" max="9987" width="10.42578125" style="1" customWidth="1"/>
    <col min="9988" max="9988" width="17.85546875" style="1" customWidth="1"/>
    <col min="9989" max="9989" width="10.5703125" style="1" customWidth="1"/>
    <col min="9990" max="9990" width="9.7109375" style="1" customWidth="1"/>
    <col min="9991" max="9995" width="8.28515625" style="1" customWidth="1"/>
    <col min="9996" max="9996" width="10" style="1" customWidth="1"/>
    <col min="9997" max="9997" width="8.28515625" style="1" customWidth="1"/>
    <col min="9998" max="9998" width="19.28515625" style="1" customWidth="1"/>
    <col min="9999" max="9999" width="6" style="1" customWidth="1"/>
    <col min="10000" max="10000" width="5.42578125" style="1" customWidth="1"/>
    <col min="10001" max="10001" width="6.5703125" style="1" customWidth="1"/>
    <col min="10002" max="10002" width="5.5703125" style="1" customWidth="1"/>
    <col min="10003" max="10003" width="5.140625" style="1" customWidth="1"/>
    <col min="10004" max="10004" width="7" style="1" customWidth="1"/>
    <col min="10005" max="10005" width="5.140625" style="1" customWidth="1"/>
    <col min="10006" max="10006" width="5.7109375" style="1" customWidth="1"/>
    <col min="10007" max="10008" width="6" style="1" customWidth="1"/>
    <col min="10009" max="10009" width="5" style="1" customWidth="1"/>
    <col min="10010" max="10010" width="6.42578125" style="1" customWidth="1"/>
    <col min="10011" max="10011" width="9.28515625" style="1" customWidth="1"/>
    <col min="10012" max="10013" width="6.85546875" style="1" customWidth="1"/>
    <col min="10014" max="10014" width="19" style="1" customWidth="1"/>
    <col min="10015" max="10032" width="5.7109375" style="1" customWidth="1"/>
    <col min="10033" max="10033" width="9.28515625" style="1" customWidth="1"/>
    <col min="10034" max="10034" width="6.7109375" style="1" customWidth="1"/>
    <col min="10035" max="10036" width="6.28515625" style="1" customWidth="1"/>
    <col min="10037" max="10037" width="19.28515625" style="1" customWidth="1"/>
    <col min="10038" max="10052" width="5.7109375" style="1" customWidth="1"/>
    <col min="10053" max="10053" width="10.140625" style="1" customWidth="1"/>
    <col min="10054" max="10054" width="6.5703125" style="1" customWidth="1"/>
    <col min="10055" max="10067" width="5.7109375" style="1" customWidth="1"/>
    <col min="10068" max="10068" width="10.42578125" style="1" customWidth="1"/>
    <col min="10069" max="10069" width="6.7109375" style="1" customWidth="1"/>
    <col min="10070" max="10070" width="6.140625" style="1" customWidth="1"/>
    <col min="10071" max="10071" width="18.85546875" style="1" customWidth="1"/>
    <col min="10072" max="10242" width="8.42578125" style="1"/>
    <col min="10243" max="10243" width="10.42578125" style="1" customWidth="1"/>
    <col min="10244" max="10244" width="17.85546875" style="1" customWidth="1"/>
    <col min="10245" max="10245" width="10.5703125" style="1" customWidth="1"/>
    <col min="10246" max="10246" width="9.7109375" style="1" customWidth="1"/>
    <col min="10247" max="10251" width="8.28515625" style="1" customWidth="1"/>
    <col min="10252" max="10252" width="10" style="1" customWidth="1"/>
    <col min="10253" max="10253" width="8.28515625" style="1" customWidth="1"/>
    <col min="10254" max="10254" width="19.28515625" style="1" customWidth="1"/>
    <col min="10255" max="10255" width="6" style="1" customWidth="1"/>
    <col min="10256" max="10256" width="5.42578125" style="1" customWidth="1"/>
    <col min="10257" max="10257" width="6.5703125" style="1" customWidth="1"/>
    <col min="10258" max="10258" width="5.5703125" style="1" customWidth="1"/>
    <col min="10259" max="10259" width="5.140625" style="1" customWidth="1"/>
    <col min="10260" max="10260" width="7" style="1" customWidth="1"/>
    <col min="10261" max="10261" width="5.140625" style="1" customWidth="1"/>
    <col min="10262" max="10262" width="5.7109375" style="1" customWidth="1"/>
    <col min="10263" max="10264" width="6" style="1" customWidth="1"/>
    <col min="10265" max="10265" width="5" style="1" customWidth="1"/>
    <col min="10266" max="10266" width="6.42578125" style="1" customWidth="1"/>
    <col min="10267" max="10267" width="9.28515625" style="1" customWidth="1"/>
    <col min="10268" max="10269" width="6.85546875" style="1" customWidth="1"/>
    <col min="10270" max="10270" width="19" style="1" customWidth="1"/>
    <col min="10271" max="10288" width="5.7109375" style="1" customWidth="1"/>
    <col min="10289" max="10289" width="9.28515625" style="1" customWidth="1"/>
    <col min="10290" max="10290" width="6.7109375" style="1" customWidth="1"/>
    <col min="10291" max="10292" width="6.28515625" style="1" customWidth="1"/>
    <col min="10293" max="10293" width="19.28515625" style="1" customWidth="1"/>
    <col min="10294" max="10308" width="5.7109375" style="1" customWidth="1"/>
    <col min="10309" max="10309" width="10.140625" style="1" customWidth="1"/>
    <col min="10310" max="10310" width="6.5703125" style="1" customWidth="1"/>
    <col min="10311" max="10323" width="5.7109375" style="1" customWidth="1"/>
    <col min="10324" max="10324" width="10.42578125" style="1" customWidth="1"/>
    <col min="10325" max="10325" width="6.7109375" style="1" customWidth="1"/>
    <col min="10326" max="10326" width="6.140625" style="1" customWidth="1"/>
    <col min="10327" max="10327" width="18.85546875" style="1" customWidth="1"/>
    <col min="10328" max="10498" width="8.42578125" style="1"/>
    <col min="10499" max="10499" width="10.42578125" style="1" customWidth="1"/>
    <col min="10500" max="10500" width="17.85546875" style="1" customWidth="1"/>
    <col min="10501" max="10501" width="10.5703125" style="1" customWidth="1"/>
    <col min="10502" max="10502" width="9.7109375" style="1" customWidth="1"/>
    <col min="10503" max="10507" width="8.28515625" style="1" customWidth="1"/>
    <col min="10508" max="10508" width="10" style="1" customWidth="1"/>
    <col min="10509" max="10509" width="8.28515625" style="1" customWidth="1"/>
    <col min="10510" max="10510" width="19.28515625" style="1" customWidth="1"/>
    <col min="10511" max="10511" width="6" style="1" customWidth="1"/>
    <col min="10512" max="10512" width="5.42578125" style="1" customWidth="1"/>
    <col min="10513" max="10513" width="6.5703125" style="1" customWidth="1"/>
    <col min="10514" max="10514" width="5.5703125" style="1" customWidth="1"/>
    <col min="10515" max="10515" width="5.140625" style="1" customWidth="1"/>
    <col min="10516" max="10516" width="7" style="1" customWidth="1"/>
    <col min="10517" max="10517" width="5.140625" style="1" customWidth="1"/>
    <col min="10518" max="10518" width="5.7109375" style="1" customWidth="1"/>
    <col min="10519" max="10520" width="6" style="1" customWidth="1"/>
    <col min="10521" max="10521" width="5" style="1" customWidth="1"/>
    <col min="10522" max="10522" width="6.42578125" style="1" customWidth="1"/>
    <col min="10523" max="10523" width="9.28515625" style="1" customWidth="1"/>
    <col min="10524" max="10525" width="6.85546875" style="1" customWidth="1"/>
    <col min="10526" max="10526" width="19" style="1" customWidth="1"/>
    <col min="10527" max="10544" width="5.7109375" style="1" customWidth="1"/>
    <col min="10545" max="10545" width="9.28515625" style="1" customWidth="1"/>
    <col min="10546" max="10546" width="6.7109375" style="1" customWidth="1"/>
    <col min="10547" max="10548" width="6.28515625" style="1" customWidth="1"/>
    <col min="10549" max="10549" width="19.28515625" style="1" customWidth="1"/>
    <col min="10550" max="10564" width="5.7109375" style="1" customWidth="1"/>
    <col min="10565" max="10565" width="10.140625" style="1" customWidth="1"/>
    <col min="10566" max="10566" width="6.5703125" style="1" customWidth="1"/>
    <col min="10567" max="10579" width="5.7109375" style="1" customWidth="1"/>
    <col min="10580" max="10580" width="10.42578125" style="1" customWidth="1"/>
    <col min="10581" max="10581" width="6.7109375" style="1" customWidth="1"/>
    <col min="10582" max="10582" width="6.140625" style="1" customWidth="1"/>
    <col min="10583" max="10583" width="18.85546875" style="1" customWidth="1"/>
    <col min="10584" max="10754" width="8.42578125" style="1"/>
    <col min="10755" max="10755" width="10.42578125" style="1" customWidth="1"/>
    <col min="10756" max="10756" width="17.85546875" style="1" customWidth="1"/>
    <col min="10757" max="10757" width="10.5703125" style="1" customWidth="1"/>
    <col min="10758" max="10758" width="9.7109375" style="1" customWidth="1"/>
    <col min="10759" max="10763" width="8.28515625" style="1" customWidth="1"/>
    <col min="10764" max="10764" width="10" style="1" customWidth="1"/>
    <col min="10765" max="10765" width="8.28515625" style="1" customWidth="1"/>
    <col min="10766" max="10766" width="19.28515625" style="1" customWidth="1"/>
    <col min="10767" max="10767" width="6" style="1" customWidth="1"/>
    <col min="10768" max="10768" width="5.42578125" style="1" customWidth="1"/>
    <col min="10769" max="10769" width="6.5703125" style="1" customWidth="1"/>
    <col min="10770" max="10770" width="5.5703125" style="1" customWidth="1"/>
    <col min="10771" max="10771" width="5.140625" style="1" customWidth="1"/>
    <col min="10772" max="10772" width="7" style="1" customWidth="1"/>
    <col min="10773" max="10773" width="5.140625" style="1" customWidth="1"/>
    <col min="10774" max="10774" width="5.7109375" style="1" customWidth="1"/>
    <col min="10775" max="10776" width="6" style="1" customWidth="1"/>
    <col min="10777" max="10777" width="5" style="1" customWidth="1"/>
    <col min="10778" max="10778" width="6.42578125" style="1" customWidth="1"/>
    <col min="10779" max="10779" width="9.28515625" style="1" customWidth="1"/>
    <col min="10780" max="10781" width="6.85546875" style="1" customWidth="1"/>
    <col min="10782" max="10782" width="19" style="1" customWidth="1"/>
    <col min="10783" max="10800" width="5.7109375" style="1" customWidth="1"/>
    <col min="10801" max="10801" width="9.28515625" style="1" customWidth="1"/>
    <col min="10802" max="10802" width="6.7109375" style="1" customWidth="1"/>
    <col min="10803" max="10804" width="6.28515625" style="1" customWidth="1"/>
    <col min="10805" max="10805" width="19.28515625" style="1" customWidth="1"/>
    <col min="10806" max="10820" width="5.7109375" style="1" customWidth="1"/>
    <col min="10821" max="10821" width="10.140625" style="1" customWidth="1"/>
    <col min="10822" max="10822" width="6.5703125" style="1" customWidth="1"/>
    <col min="10823" max="10835" width="5.7109375" style="1" customWidth="1"/>
    <col min="10836" max="10836" width="10.42578125" style="1" customWidth="1"/>
    <col min="10837" max="10837" width="6.7109375" style="1" customWidth="1"/>
    <col min="10838" max="10838" width="6.140625" style="1" customWidth="1"/>
    <col min="10839" max="10839" width="18.85546875" style="1" customWidth="1"/>
    <col min="10840" max="11010" width="8.42578125" style="1"/>
    <col min="11011" max="11011" width="10.42578125" style="1" customWidth="1"/>
    <col min="11012" max="11012" width="17.85546875" style="1" customWidth="1"/>
    <col min="11013" max="11013" width="10.5703125" style="1" customWidth="1"/>
    <col min="11014" max="11014" width="9.7109375" style="1" customWidth="1"/>
    <col min="11015" max="11019" width="8.28515625" style="1" customWidth="1"/>
    <col min="11020" max="11020" width="10" style="1" customWidth="1"/>
    <col min="11021" max="11021" width="8.28515625" style="1" customWidth="1"/>
    <col min="11022" max="11022" width="19.28515625" style="1" customWidth="1"/>
    <col min="11023" max="11023" width="6" style="1" customWidth="1"/>
    <col min="11024" max="11024" width="5.42578125" style="1" customWidth="1"/>
    <col min="11025" max="11025" width="6.5703125" style="1" customWidth="1"/>
    <col min="11026" max="11026" width="5.5703125" style="1" customWidth="1"/>
    <col min="11027" max="11027" width="5.140625" style="1" customWidth="1"/>
    <col min="11028" max="11028" width="7" style="1" customWidth="1"/>
    <col min="11029" max="11029" width="5.140625" style="1" customWidth="1"/>
    <col min="11030" max="11030" width="5.7109375" style="1" customWidth="1"/>
    <col min="11031" max="11032" width="6" style="1" customWidth="1"/>
    <col min="11033" max="11033" width="5" style="1" customWidth="1"/>
    <col min="11034" max="11034" width="6.42578125" style="1" customWidth="1"/>
    <col min="11035" max="11035" width="9.28515625" style="1" customWidth="1"/>
    <col min="11036" max="11037" width="6.85546875" style="1" customWidth="1"/>
    <col min="11038" max="11038" width="19" style="1" customWidth="1"/>
    <col min="11039" max="11056" width="5.7109375" style="1" customWidth="1"/>
    <col min="11057" max="11057" width="9.28515625" style="1" customWidth="1"/>
    <col min="11058" max="11058" width="6.7109375" style="1" customWidth="1"/>
    <col min="11059" max="11060" width="6.28515625" style="1" customWidth="1"/>
    <col min="11061" max="11061" width="19.28515625" style="1" customWidth="1"/>
    <col min="11062" max="11076" width="5.7109375" style="1" customWidth="1"/>
    <col min="11077" max="11077" width="10.140625" style="1" customWidth="1"/>
    <col min="11078" max="11078" width="6.5703125" style="1" customWidth="1"/>
    <col min="11079" max="11091" width="5.7109375" style="1" customWidth="1"/>
    <col min="11092" max="11092" width="10.42578125" style="1" customWidth="1"/>
    <col min="11093" max="11093" width="6.7109375" style="1" customWidth="1"/>
    <col min="11094" max="11094" width="6.140625" style="1" customWidth="1"/>
    <col min="11095" max="11095" width="18.85546875" style="1" customWidth="1"/>
    <col min="11096" max="11266" width="8.42578125" style="1"/>
    <col min="11267" max="11267" width="10.42578125" style="1" customWidth="1"/>
    <col min="11268" max="11268" width="17.85546875" style="1" customWidth="1"/>
    <col min="11269" max="11269" width="10.5703125" style="1" customWidth="1"/>
    <col min="11270" max="11270" width="9.7109375" style="1" customWidth="1"/>
    <col min="11271" max="11275" width="8.28515625" style="1" customWidth="1"/>
    <col min="11276" max="11276" width="10" style="1" customWidth="1"/>
    <col min="11277" max="11277" width="8.28515625" style="1" customWidth="1"/>
    <col min="11278" max="11278" width="19.28515625" style="1" customWidth="1"/>
    <col min="11279" max="11279" width="6" style="1" customWidth="1"/>
    <col min="11280" max="11280" width="5.42578125" style="1" customWidth="1"/>
    <col min="11281" max="11281" width="6.5703125" style="1" customWidth="1"/>
    <col min="11282" max="11282" width="5.5703125" style="1" customWidth="1"/>
    <col min="11283" max="11283" width="5.140625" style="1" customWidth="1"/>
    <col min="11284" max="11284" width="7" style="1" customWidth="1"/>
    <col min="11285" max="11285" width="5.140625" style="1" customWidth="1"/>
    <col min="11286" max="11286" width="5.7109375" style="1" customWidth="1"/>
    <col min="11287" max="11288" width="6" style="1" customWidth="1"/>
    <col min="11289" max="11289" width="5" style="1" customWidth="1"/>
    <col min="11290" max="11290" width="6.42578125" style="1" customWidth="1"/>
    <col min="11291" max="11291" width="9.28515625" style="1" customWidth="1"/>
    <col min="11292" max="11293" width="6.85546875" style="1" customWidth="1"/>
    <col min="11294" max="11294" width="19" style="1" customWidth="1"/>
    <col min="11295" max="11312" width="5.7109375" style="1" customWidth="1"/>
    <col min="11313" max="11313" width="9.28515625" style="1" customWidth="1"/>
    <col min="11314" max="11314" width="6.7109375" style="1" customWidth="1"/>
    <col min="11315" max="11316" width="6.28515625" style="1" customWidth="1"/>
    <col min="11317" max="11317" width="19.28515625" style="1" customWidth="1"/>
    <col min="11318" max="11332" width="5.7109375" style="1" customWidth="1"/>
    <col min="11333" max="11333" width="10.140625" style="1" customWidth="1"/>
    <col min="11334" max="11334" width="6.5703125" style="1" customWidth="1"/>
    <col min="11335" max="11347" width="5.7109375" style="1" customWidth="1"/>
    <col min="11348" max="11348" width="10.42578125" style="1" customWidth="1"/>
    <col min="11349" max="11349" width="6.7109375" style="1" customWidth="1"/>
    <col min="11350" max="11350" width="6.140625" style="1" customWidth="1"/>
    <col min="11351" max="11351" width="18.85546875" style="1" customWidth="1"/>
    <col min="11352" max="11522" width="8.42578125" style="1"/>
    <col min="11523" max="11523" width="10.42578125" style="1" customWidth="1"/>
    <col min="11524" max="11524" width="17.85546875" style="1" customWidth="1"/>
    <col min="11525" max="11525" width="10.5703125" style="1" customWidth="1"/>
    <col min="11526" max="11526" width="9.7109375" style="1" customWidth="1"/>
    <col min="11527" max="11531" width="8.28515625" style="1" customWidth="1"/>
    <col min="11532" max="11532" width="10" style="1" customWidth="1"/>
    <col min="11533" max="11533" width="8.28515625" style="1" customWidth="1"/>
    <col min="11534" max="11534" width="19.28515625" style="1" customWidth="1"/>
    <col min="11535" max="11535" width="6" style="1" customWidth="1"/>
    <col min="11536" max="11536" width="5.42578125" style="1" customWidth="1"/>
    <col min="11537" max="11537" width="6.5703125" style="1" customWidth="1"/>
    <col min="11538" max="11538" width="5.5703125" style="1" customWidth="1"/>
    <col min="11539" max="11539" width="5.140625" style="1" customWidth="1"/>
    <col min="11540" max="11540" width="7" style="1" customWidth="1"/>
    <col min="11541" max="11541" width="5.140625" style="1" customWidth="1"/>
    <col min="11542" max="11542" width="5.7109375" style="1" customWidth="1"/>
    <col min="11543" max="11544" width="6" style="1" customWidth="1"/>
    <col min="11545" max="11545" width="5" style="1" customWidth="1"/>
    <col min="11546" max="11546" width="6.42578125" style="1" customWidth="1"/>
    <col min="11547" max="11547" width="9.28515625" style="1" customWidth="1"/>
    <col min="11548" max="11549" width="6.85546875" style="1" customWidth="1"/>
    <col min="11550" max="11550" width="19" style="1" customWidth="1"/>
    <col min="11551" max="11568" width="5.7109375" style="1" customWidth="1"/>
    <col min="11569" max="11569" width="9.28515625" style="1" customWidth="1"/>
    <col min="11570" max="11570" width="6.7109375" style="1" customWidth="1"/>
    <col min="11571" max="11572" width="6.28515625" style="1" customWidth="1"/>
    <col min="11573" max="11573" width="19.28515625" style="1" customWidth="1"/>
    <col min="11574" max="11588" width="5.7109375" style="1" customWidth="1"/>
    <col min="11589" max="11589" width="10.140625" style="1" customWidth="1"/>
    <col min="11590" max="11590" width="6.5703125" style="1" customWidth="1"/>
    <col min="11591" max="11603" width="5.7109375" style="1" customWidth="1"/>
    <col min="11604" max="11604" width="10.42578125" style="1" customWidth="1"/>
    <col min="11605" max="11605" width="6.7109375" style="1" customWidth="1"/>
    <col min="11606" max="11606" width="6.140625" style="1" customWidth="1"/>
    <col min="11607" max="11607" width="18.85546875" style="1" customWidth="1"/>
    <col min="11608" max="11778" width="8.42578125" style="1"/>
    <col min="11779" max="11779" width="10.42578125" style="1" customWidth="1"/>
    <col min="11780" max="11780" width="17.85546875" style="1" customWidth="1"/>
    <col min="11781" max="11781" width="10.5703125" style="1" customWidth="1"/>
    <col min="11782" max="11782" width="9.7109375" style="1" customWidth="1"/>
    <col min="11783" max="11787" width="8.28515625" style="1" customWidth="1"/>
    <col min="11788" max="11788" width="10" style="1" customWidth="1"/>
    <col min="11789" max="11789" width="8.28515625" style="1" customWidth="1"/>
    <col min="11790" max="11790" width="19.28515625" style="1" customWidth="1"/>
    <col min="11791" max="11791" width="6" style="1" customWidth="1"/>
    <col min="11792" max="11792" width="5.42578125" style="1" customWidth="1"/>
    <col min="11793" max="11793" width="6.5703125" style="1" customWidth="1"/>
    <col min="11794" max="11794" width="5.5703125" style="1" customWidth="1"/>
    <col min="11795" max="11795" width="5.140625" style="1" customWidth="1"/>
    <col min="11796" max="11796" width="7" style="1" customWidth="1"/>
    <col min="11797" max="11797" width="5.140625" style="1" customWidth="1"/>
    <col min="11798" max="11798" width="5.7109375" style="1" customWidth="1"/>
    <col min="11799" max="11800" width="6" style="1" customWidth="1"/>
    <col min="11801" max="11801" width="5" style="1" customWidth="1"/>
    <col min="11802" max="11802" width="6.42578125" style="1" customWidth="1"/>
    <col min="11803" max="11803" width="9.28515625" style="1" customWidth="1"/>
    <col min="11804" max="11805" width="6.85546875" style="1" customWidth="1"/>
    <col min="11806" max="11806" width="19" style="1" customWidth="1"/>
    <col min="11807" max="11824" width="5.7109375" style="1" customWidth="1"/>
    <col min="11825" max="11825" width="9.28515625" style="1" customWidth="1"/>
    <col min="11826" max="11826" width="6.7109375" style="1" customWidth="1"/>
    <col min="11827" max="11828" width="6.28515625" style="1" customWidth="1"/>
    <col min="11829" max="11829" width="19.28515625" style="1" customWidth="1"/>
    <col min="11830" max="11844" width="5.7109375" style="1" customWidth="1"/>
    <col min="11845" max="11845" width="10.140625" style="1" customWidth="1"/>
    <col min="11846" max="11846" width="6.5703125" style="1" customWidth="1"/>
    <col min="11847" max="11859" width="5.7109375" style="1" customWidth="1"/>
    <col min="11860" max="11860" width="10.42578125" style="1" customWidth="1"/>
    <col min="11861" max="11861" width="6.7109375" style="1" customWidth="1"/>
    <col min="11862" max="11862" width="6.140625" style="1" customWidth="1"/>
    <col min="11863" max="11863" width="18.85546875" style="1" customWidth="1"/>
    <col min="11864" max="12034" width="8.42578125" style="1"/>
    <col min="12035" max="12035" width="10.42578125" style="1" customWidth="1"/>
    <col min="12036" max="12036" width="17.85546875" style="1" customWidth="1"/>
    <col min="12037" max="12037" width="10.5703125" style="1" customWidth="1"/>
    <col min="12038" max="12038" width="9.7109375" style="1" customWidth="1"/>
    <col min="12039" max="12043" width="8.28515625" style="1" customWidth="1"/>
    <col min="12044" max="12044" width="10" style="1" customWidth="1"/>
    <col min="12045" max="12045" width="8.28515625" style="1" customWidth="1"/>
    <col min="12046" max="12046" width="19.28515625" style="1" customWidth="1"/>
    <col min="12047" max="12047" width="6" style="1" customWidth="1"/>
    <col min="12048" max="12048" width="5.42578125" style="1" customWidth="1"/>
    <col min="12049" max="12049" width="6.5703125" style="1" customWidth="1"/>
    <col min="12050" max="12050" width="5.5703125" style="1" customWidth="1"/>
    <col min="12051" max="12051" width="5.140625" style="1" customWidth="1"/>
    <col min="12052" max="12052" width="7" style="1" customWidth="1"/>
    <col min="12053" max="12053" width="5.140625" style="1" customWidth="1"/>
    <col min="12054" max="12054" width="5.7109375" style="1" customWidth="1"/>
    <col min="12055" max="12056" width="6" style="1" customWidth="1"/>
    <col min="12057" max="12057" width="5" style="1" customWidth="1"/>
    <col min="12058" max="12058" width="6.42578125" style="1" customWidth="1"/>
    <col min="12059" max="12059" width="9.28515625" style="1" customWidth="1"/>
    <col min="12060" max="12061" width="6.85546875" style="1" customWidth="1"/>
    <col min="12062" max="12062" width="19" style="1" customWidth="1"/>
    <col min="12063" max="12080" width="5.7109375" style="1" customWidth="1"/>
    <col min="12081" max="12081" width="9.28515625" style="1" customWidth="1"/>
    <col min="12082" max="12082" width="6.7109375" style="1" customWidth="1"/>
    <col min="12083" max="12084" width="6.28515625" style="1" customWidth="1"/>
    <col min="12085" max="12085" width="19.28515625" style="1" customWidth="1"/>
    <col min="12086" max="12100" width="5.7109375" style="1" customWidth="1"/>
    <col min="12101" max="12101" width="10.140625" style="1" customWidth="1"/>
    <col min="12102" max="12102" width="6.5703125" style="1" customWidth="1"/>
    <col min="12103" max="12115" width="5.7109375" style="1" customWidth="1"/>
    <col min="12116" max="12116" width="10.42578125" style="1" customWidth="1"/>
    <col min="12117" max="12117" width="6.7109375" style="1" customWidth="1"/>
    <col min="12118" max="12118" width="6.140625" style="1" customWidth="1"/>
    <col min="12119" max="12119" width="18.85546875" style="1" customWidth="1"/>
    <col min="12120" max="12290" width="8.42578125" style="1"/>
    <col min="12291" max="12291" width="10.42578125" style="1" customWidth="1"/>
    <col min="12292" max="12292" width="17.85546875" style="1" customWidth="1"/>
    <col min="12293" max="12293" width="10.5703125" style="1" customWidth="1"/>
    <col min="12294" max="12294" width="9.7109375" style="1" customWidth="1"/>
    <col min="12295" max="12299" width="8.28515625" style="1" customWidth="1"/>
    <col min="12300" max="12300" width="10" style="1" customWidth="1"/>
    <col min="12301" max="12301" width="8.28515625" style="1" customWidth="1"/>
    <col min="12302" max="12302" width="19.28515625" style="1" customWidth="1"/>
    <col min="12303" max="12303" width="6" style="1" customWidth="1"/>
    <col min="12304" max="12304" width="5.42578125" style="1" customWidth="1"/>
    <col min="12305" max="12305" width="6.5703125" style="1" customWidth="1"/>
    <col min="12306" max="12306" width="5.5703125" style="1" customWidth="1"/>
    <col min="12307" max="12307" width="5.140625" style="1" customWidth="1"/>
    <col min="12308" max="12308" width="7" style="1" customWidth="1"/>
    <col min="12309" max="12309" width="5.140625" style="1" customWidth="1"/>
    <col min="12310" max="12310" width="5.7109375" style="1" customWidth="1"/>
    <col min="12311" max="12312" width="6" style="1" customWidth="1"/>
    <col min="12313" max="12313" width="5" style="1" customWidth="1"/>
    <col min="12314" max="12314" width="6.42578125" style="1" customWidth="1"/>
    <col min="12315" max="12315" width="9.28515625" style="1" customWidth="1"/>
    <col min="12316" max="12317" width="6.85546875" style="1" customWidth="1"/>
    <col min="12318" max="12318" width="19" style="1" customWidth="1"/>
    <col min="12319" max="12336" width="5.7109375" style="1" customWidth="1"/>
    <col min="12337" max="12337" width="9.28515625" style="1" customWidth="1"/>
    <col min="12338" max="12338" width="6.7109375" style="1" customWidth="1"/>
    <col min="12339" max="12340" width="6.28515625" style="1" customWidth="1"/>
    <col min="12341" max="12341" width="19.28515625" style="1" customWidth="1"/>
    <col min="12342" max="12356" width="5.7109375" style="1" customWidth="1"/>
    <col min="12357" max="12357" width="10.140625" style="1" customWidth="1"/>
    <col min="12358" max="12358" width="6.5703125" style="1" customWidth="1"/>
    <col min="12359" max="12371" width="5.7109375" style="1" customWidth="1"/>
    <col min="12372" max="12372" width="10.42578125" style="1" customWidth="1"/>
    <col min="12373" max="12373" width="6.7109375" style="1" customWidth="1"/>
    <col min="12374" max="12374" width="6.140625" style="1" customWidth="1"/>
    <col min="12375" max="12375" width="18.85546875" style="1" customWidth="1"/>
    <col min="12376" max="12546" width="8.42578125" style="1"/>
    <col min="12547" max="12547" width="10.42578125" style="1" customWidth="1"/>
    <col min="12548" max="12548" width="17.85546875" style="1" customWidth="1"/>
    <col min="12549" max="12549" width="10.5703125" style="1" customWidth="1"/>
    <col min="12550" max="12550" width="9.7109375" style="1" customWidth="1"/>
    <col min="12551" max="12555" width="8.28515625" style="1" customWidth="1"/>
    <col min="12556" max="12556" width="10" style="1" customWidth="1"/>
    <col min="12557" max="12557" width="8.28515625" style="1" customWidth="1"/>
    <col min="12558" max="12558" width="19.28515625" style="1" customWidth="1"/>
    <col min="12559" max="12559" width="6" style="1" customWidth="1"/>
    <col min="12560" max="12560" width="5.42578125" style="1" customWidth="1"/>
    <col min="12561" max="12561" width="6.5703125" style="1" customWidth="1"/>
    <col min="12562" max="12562" width="5.5703125" style="1" customWidth="1"/>
    <col min="12563" max="12563" width="5.140625" style="1" customWidth="1"/>
    <col min="12564" max="12564" width="7" style="1" customWidth="1"/>
    <col min="12565" max="12565" width="5.140625" style="1" customWidth="1"/>
    <col min="12566" max="12566" width="5.7109375" style="1" customWidth="1"/>
    <col min="12567" max="12568" width="6" style="1" customWidth="1"/>
    <col min="12569" max="12569" width="5" style="1" customWidth="1"/>
    <col min="12570" max="12570" width="6.42578125" style="1" customWidth="1"/>
    <col min="12571" max="12571" width="9.28515625" style="1" customWidth="1"/>
    <col min="12572" max="12573" width="6.85546875" style="1" customWidth="1"/>
    <col min="12574" max="12574" width="19" style="1" customWidth="1"/>
    <col min="12575" max="12592" width="5.7109375" style="1" customWidth="1"/>
    <col min="12593" max="12593" width="9.28515625" style="1" customWidth="1"/>
    <col min="12594" max="12594" width="6.7109375" style="1" customWidth="1"/>
    <col min="12595" max="12596" width="6.28515625" style="1" customWidth="1"/>
    <col min="12597" max="12597" width="19.28515625" style="1" customWidth="1"/>
    <col min="12598" max="12612" width="5.7109375" style="1" customWidth="1"/>
    <col min="12613" max="12613" width="10.140625" style="1" customWidth="1"/>
    <col min="12614" max="12614" width="6.5703125" style="1" customWidth="1"/>
    <col min="12615" max="12627" width="5.7109375" style="1" customWidth="1"/>
    <col min="12628" max="12628" width="10.42578125" style="1" customWidth="1"/>
    <col min="12629" max="12629" width="6.7109375" style="1" customWidth="1"/>
    <col min="12630" max="12630" width="6.140625" style="1" customWidth="1"/>
    <col min="12631" max="12631" width="18.85546875" style="1" customWidth="1"/>
    <col min="12632" max="12802" width="8.42578125" style="1"/>
    <col min="12803" max="12803" width="10.42578125" style="1" customWidth="1"/>
    <col min="12804" max="12804" width="17.85546875" style="1" customWidth="1"/>
    <col min="12805" max="12805" width="10.5703125" style="1" customWidth="1"/>
    <col min="12806" max="12806" width="9.7109375" style="1" customWidth="1"/>
    <col min="12807" max="12811" width="8.28515625" style="1" customWidth="1"/>
    <col min="12812" max="12812" width="10" style="1" customWidth="1"/>
    <col min="12813" max="12813" width="8.28515625" style="1" customWidth="1"/>
    <col min="12814" max="12814" width="19.28515625" style="1" customWidth="1"/>
    <col min="12815" max="12815" width="6" style="1" customWidth="1"/>
    <col min="12816" max="12816" width="5.42578125" style="1" customWidth="1"/>
    <col min="12817" max="12817" width="6.5703125" style="1" customWidth="1"/>
    <col min="12818" max="12818" width="5.5703125" style="1" customWidth="1"/>
    <col min="12819" max="12819" width="5.140625" style="1" customWidth="1"/>
    <col min="12820" max="12820" width="7" style="1" customWidth="1"/>
    <col min="12821" max="12821" width="5.140625" style="1" customWidth="1"/>
    <col min="12822" max="12822" width="5.7109375" style="1" customWidth="1"/>
    <col min="12823" max="12824" width="6" style="1" customWidth="1"/>
    <col min="12825" max="12825" width="5" style="1" customWidth="1"/>
    <col min="12826" max="12826" width="6.42578125" style="1" customWidth="1"/>
    <col min="12827" max="12827" width="9.28515625" style="1" customWidth="1"/>
    <col min="12828" max="12829" width="6.85546875" style="1" customWidth="1"/>
    <col min="12830" max="12830" width="19" style="1" customWidth="1"/>
    <col min="12831" max="12848" width="5.7109375" style="1" customWidth="1"/>
    <col min="12849" max="12849" width="9.28515625" style="1" customWidth="1"/>
    <col min="12850" max="12850" width="6.7109375" style="1" customWidth="1"/>
    <col min="12851" max="12852" width="6.28515625" style="1" customWidth="1"/>
    <col min="12853" max="12853" width="19.28515625" style="1" customWidth="1"/>
    <col min="12854" max="12868" width="5.7109375" style="1" customWidth="1"/>
    <col min="12869" max="12869" width="10.140625" style="1" customWidth="1"/>
    <col min="12870" max="12870" width="6.5703125" style="1" customWidth="1"/>
    <col min="12871" max="12883" width="5.7109375" style="1" customWidth="1"/>
    <col min="12884" max="12884" width="10.42578125" style="1" customWidth="1"/>
    <col min="12885" max="12885" width="6.7109375" style="1" customWidth="1"/>
    <col min="12886" max="12886" width="6.140625" style="1" customWidth="1"/>
    <col min="12887" max="12887" width="18.85546875" style="1" customWidth="1"/>
    <col min="12888" max="13058" width="8.42578125" style="1"/>
    <col min="13059" max="13059" width="10.42578125" style="1" customWidth="1"/>
    <col min="13060" max="13060" width="17.85546875" style="1" customWidth="1"/>
    <col min="13061" max="13061" width="10.5703125" style="1" customWidth="1"/>
    <col min="13062" max="13062" width="9.7109375" style="1" customWidth="1"/>
    <col min="13063" max="13067" width="8.28515625" style="1" customWidth="1"/>
    <col min="13068" max="13068" width="10" style="1" customWidth="1"/>
    <col min="13069" max="13069" width="8.28515625" style="1" customWidth="1"/>
    <col min="13070" max="13070" width="19.28515625" style="1" customWidth="1"/>
    <col min="13071" max="13071" width="6" style="1" customWidth="1"/>
    <col min="13072" max="13072" width="5.42578125" style="1" customWidth="1"/>
    <col min="13073" max="13073" width="6.5703125" style="1" customWidth="1"/>
    <col min="13074" max="13074" width="5.5703125" style="1" customWidth="1"/>
    <col min="13075" max="13075" width="5.140625" style="1" customWidth="1"/>
    <col min="13076" max="13076" width="7" style="1" customWidth="1"/>
    <col min="13077" max="13077" width="5.140625" style="1" customWidth="1"/>
    <col min="13078" max="13078" width="5.7109375" style="1" customWidth="1"/>
    <col min="13079" max="13080" width="6" style="1" customWidth="1"/>
    <col min="13081" max="13081" width="5" style="1" customWidth="1"/>
    <col min="13082" max="13082" width="6.42578125" style="1" customWidth="1"/>
    <col min="13083" max="13083" width="9.28515625" style="1" customWidth="1"/>
    <col min="13084" max="13085" width="6.85546875" style="1" customWidth="1"/>
    <col min="13086" max="13086" width="19" style="1" customWidth="1"/>
    <col min="13087" max="13104" width="5.7109375" style="1" customWidth="1"/>
    <col min="13105" max="13105" width="9.28515625" style="1" customWidth="1"/>
    <col min="13106" max="13106" width="6.7109375" style="1" customWidth="1"/>
    <col min="13107" max="13108" width="6.28515625" style="1" customWidth="1"/>
    <col min="13109" max="13109" width="19.28515625" style="1" customWidth="1"/>
    <col min="13110" max="13124" width="5.7109375" style="1" customWidth="1"/>
    <col min="13125" max="13125" width="10.140625" style="1" customWidth="1"/>
    <col min="13126" max="13126" width="6.5703125" style="1" customWidth="1"/>
    <col min="13127" max="13139" width="5.7109375" style="1" customWidth="1"/>
    <col min="13140" max="13140" width="10.42578125" style="1" customWidth="1"/>
    <col min="13141" max="13141" width="6.7109375" style="1" customWidth="1"/>
    <col min="13142" max="13142" width="6.140625" style="1" customWidth="1"/>
    <col min="13143" max="13143" width="18.85546875" style="1" customWidth="1"/>
    <col min="13144" max="13314" width="8.42578125" style="1"/>
    <col min="13315" max="13315" width="10.42578125" style="1" customWidth="1"/>
    <col min="13316" max="13316" width="17.85546875" style="1" customWidth="1"/>
    <col min="13317" max="13317" width="10.5703125" style="1" customWidth="1"/>
    <col min="13318" max="13318" width="9.7109375" style="1" customWidth="1"/>
    <col min="13319" max="13323" width="8.28515625" style="1" customWidth="1"/>
    <col min="13324" max="13324" width="10" style="1" customWidth="1"/>
    <col min="13325" max="13325" width="8.28515625" style="1" customWidth="1"/>
    <col min="13326" max="13326" width="19.28515625" style="1" customWidth="1"/>
    <col min="13327" max="13327" width="6" style="1" customWidth="1"/>
    <col min="13328" max="13328" width="5.42578125" style="1" customWidth="1"/>
    <col min="13329" max="13329" width="6.5703125" style="1" customWidth="1"/>
    <col min="13330" max="13330" width="5.5703125" style="1" customWidth="1"/>
    <col min="13331" max="13331" width="5.140625" style="1" customWidth="1"/>
    <col min="13332" max="13332" width="7" style="1" customWidth="1"/>
    <col min="13333" max="13333" width="5.140625" style="1" customWidth="1"/>
    <col min="13334" max="13334" width="5.7109375" style="1" customWidth="1"/>
    <col min="13335" max="13336" width="6" style="1" customWidth="1"/>
    <col min="13337" max="13337" width="5" style="1" customWidth="1"/>
    <col min="13338" max="13338" width="6.42578125" style="1" customWidth="1"/>
    <col min="13339" max="13339" width="9.28515625" style="1" customWidth="1"/>
    <col min="13340" max="13341" width="6.85546875" style="1" customWidth="1"/>
    <col min="13342" max="13342" width="19" style="1" customWidth="1"/>
    <col min="13343" max="13360" width="5.7109375" style="1" customWidth="1"/>
    <col min="13361" max="13361" width="9.28515625" style="1" customWidth="1"/>
    <col min="13362" max="13362" width="6.7109375" style="1" customWidth="1"/>
    <col min="13363" max="13364" width="6.28515625" style="1" customWidth="1"/>
    <col min="13365" max="13365" width="19.28515625" style="1" customWidth="1"/>
    <col min="13366" max="13380" width="5.7109375" style="1" customWidth="1"/>
    <col min="13381" max="13381" width="10.140625" style="1" customWidth="1"/>
    <col min="13382" max="13382" width="6.5703125" style="1" customWidth="1"/>
    <col min="13383" max="13395" width="5.7109375" style="1" customWidth="1"/>
    <col min="13396" max="13396" width="10.42578125" style="1" customWidth="1"/>
    <col min="13397" max="13397" width="6.7109375" style="1" customWidth="1"/>
    <col min="13398" max="13398" width="6.140625" style="1" customWidth="1"/>
    <col min="13399" max="13399" width="18.85546875" style="1" customWidth="1"/>
    <col min="13400" max="13570" width="8.42578125" style="1"/>
    <col min="13571" max="13571" width="10.42578125" style="1" customWidth="1"/>
    <col min="13572" max="13572" width="17.85546875" style="1" customWidth="1"/>
    <col min="13573" max="13573" width="10.5703125" style="1" customWidth="1"/>
    <col min="13574" max="13574" width="9.7109375" style="1" customWidth="1"/>
    <col min="13575" max="13579" width="8.28515625" style="1" customWidth="1"/>
    <col min="13580" max="13580" width="10" style="1" customWidth="1"/>
    <col min="13581" max="13581" width="8.28515625" style="1" customWidth="1"/>
    <col min="13582" max="13582" width="19.28515625" style="1" customWidth="1"/>
    <col min="13583" max="13583" width="6" style="1" customWidth="1"/>
    <col min="13584" max="13584" width="5.42578125" style="1" customWidth="1"/>
    <col min="13585" max="13585" width="6.5703125" style="1" customWidth="1"/>
    <col min="13586" max="13586" width="5.5703125" style="1" customWidth="1"/>
    <col min="13587" max="13587" width="5.140625" style="1" customWidth="1"/>
    <col min="13588" max="13588" width="7" style="1" customWidth="1"/>
    <col min="13589" max="13589" width="5.140625" style="1" customWidth="1"/>
    <col min="13590" max="13590" width="5.7109375" style="1" customWidth="1"/>
    <col min="13591" max="13592" width="6" style="1" customWidth="1"/>
    <col min="13593" max="13593" width="5" style="1" customWidth="1"/>
    <col min="13594" max="13594" width="6.42578125" style="1" customWidth="1"/>
    <col min="13595" max="13595" width="9.28515625" style="1" customWidth="1"/>
    <col min="13596" max="13597" width="6.85546875" style="1" customWidth="1"/>
    <col min="13598" max="13598" width="19" style="1" customWidth="1"/>
    <col min="13599" max="13616" width="5.7109375" style="1" customWidth="1"/>
    <col min="13617" max="13617" width="9.28515625" style="1" customWidth="1"/>
    <col min="13618" max="13618" width="6.7109375" style="1" customWidth="1"/>
    <col min="13619" max="13620" width="6.28515625" style="1" customWidth="1"/>
    <col min="13621" max="13621" width="19.28515625" style="1" customWidth="1"/>
    <col min="13622" max="13636" width="5.7109375" style="1" customWidth="1"/>
    <col min="13637" max="13637" width="10.140625" style="1" customWidth="1"/>
    <col min="13638" max="13638" width="6.5703125" style="1" customWidth="1"/>
    <col min="13639" max="13651" width="5.7109375" style="1" customWidth="1"/>
    <col min="13652" max="13652" width="10.42578125" style="1" customWidth="1"/>
    <col min="13653" max="13653" width="6.7109375" style="1" customWidth="1"/>
    <col min="13654" max="13654" width="6.140625" style="1" customWidth="1"/>
    <col min="13655" max="13655" width="18.85546875" style="1" customWidth="1"/>
    <col min="13656" max="13826" width="8.42578125" style="1"/>
    <col min="13827" max="13827" width="10.42578125" style="1" customWidth="1"/>
    <col min="13828" max="13828" width="17.85546875" style="1" customWidth="1"/>
    <col min="13829" max="13829" width="10.5703125" style="1" customWidth="1"/>
    <col min="13830" max="13830" width="9.7109375" style="1" customWidth="1"/>
    <col min="13831" max="13835" width="8.28515625" style="1" customWidth="1"/>
    <col min="13836" max="13836" width="10" style="1" customWidth="1"/>
    <col min="13837" max="13837" width="8.28515625" style="1" customWidth="1"/>
    <col min="13838" max="13838" width="19.28515625" style="1" customWidth="1"/>
    <col min="13839" max="13839" width="6" style="1" customWidth="1"/>
    <col min="13840" max="13840" width="5.42578125" style="1" customWidth="1"/>
    <col min="13841" max="13841" width="6.5703125" style="1" customWidth="1"/>
    <col min="13842" max="13842" width="5.5703125" style="1" customWidth="1"/>
    <col min="13843" max="13843" width="5.140625" style="1" customWidth="1"/>
    <col min="13844" max="13844" width="7" style="1" customWidth="1"/>
    <col min="13845" max="13845" width="5.140625" style="1" customWidth="1"/>
    <col min="13846" max="13846" width="5.7109375" style="1" customWidth="1"/>
    <col min="13847" max="13848" width="6" style="1" customWidth="1"/>
    <col min="13849" max="13849" width="5" style="1" customWidth="1"/>
    <col min="13850" max="13850" width="6.42578125" style="1" customWidth="1"/>
    <col min="13851" max="13851" width="9.28515625" style="1" customWidth="1"/>
    <col min="13852" max="13853" width="6.85546875" style="1" customWidth="1"/>
    <col min="13854" max="13854" width="19" style="1" customWidth="1"/>
    <col min="13855" max="13872" width="5.7109375" style="1" customWidth="1"/>
    <col min="13873" max="13873" width="9.28515625" style="1" customWidth="1"/>
    <col min="13874" max="13874" width="6.7109375" style="1" customWidth="1"/>
    <col min="13875" max="13876" width="6.28515625" style="1" customWidth="1"/>
    <col min="13877" max="13877" width="19.28515625" style="1" customWidth="1"/>
    <col min="13878" max="13892" width="5.7109375" style="1" customWidth="1"/>
    <col min="13893" max="13893" width="10.140625" style="1" customWidth="1"/>
    <col min="13894" max="13894" width="6.5703125" style="1" customWidth="1"/>
    <col min="13895" max="13907" width="5.7109375" style="1" customWidth="1"/>
    <col min="13908" max="13908" width="10.42578125" style="1" customWidth="1"/>
    <col min="13909" max="13909" width="6.7109375" style="1" customWidth="1"/>
    <col min="13910" max="13910" width="6.140625" style="1" customWidth="1"/>
    <col min="13911" max="13911" width="18.85546875" style="1" customWidth="1"/>
    <col min="13912" max="14082" width="8.42578125" style="1"/>
    <col min="14083" max="14083" width="10.42578125" style="1" customWidth="1"/>
    <col min="14084" max="14084" width="17.85546875" style="1" customWidth="1"/>
    <col min="14085" max="14085" width="10.5703125" style="1" customWidth="1"/>
    <col min="14086" max="14086" width="9.7109375" style="1" customWidth="1"/>
    <col min="14087" max="14091" width="8.28515625" style="1" customWidth="1"/>
    <col min="14092" max="14092" width="10" style="1" customWidth="1"/>
    <col min="14093" max="14093" width="8.28515625" style="1" customWidth="1"/>
    <col min="14094" max="14094" width="19.28515625" style="1" customWidth="1"/>
    <col min="14095" max="14095" width="6" style="1" customWidth="1"/>
    <col min="14096" max="14096" width="5.42578125" style="1" customWidth="1"/>
    <col min="14097" max="14097" width="6.5703125" style="1" customWidth="1"/>
    <col min="14098" max="14098" width="5.5703125" style="1" customWidth="1"/>
    <col min="14099" max="14099" width="5.140625" style="1" customWidth="1"/>
    <col min="14100" max="14100" width="7" style="1" customWidth="1"/>
    <col min="14101" max="14101" width="5.140625" style="1" customWidth="1"/>
    <col min="14102" max="14102" width="5.7109375" style="1" customWidth="1"/>
    <col min="14103" max="14104" width="6" style="1" customWidth="1"/>
    <col min="14105" max="14105" width="5" style="1" customWidth="1"/>
    <col min="14106" max="14106" width="6.42578125" style="1" customWidth="1"/>
    <col min="14107" max="14107" width="9.28515625" style="1" customWidth="1"/>
    <col min="14108" max="14109" width="6.85546875" style="1" customWidth="1"/>
    <col min="14110" max="14110" width="19" style="1" customWidth="1"/>
    <col min="14111" max="14128" width="5.7109375" style="1" customWidth="1"/>
    <col min="14129" max="14129" width="9.28515625" style="1" customWidth="1"/>
    <col min="14130" max="14130" width="6.7109375" style="1" customWidth="1"/>
    <col min="14131" max="14132" width="6.28515625" style="1" customWidth="1"/>
    <col min="14133" max="14133" width="19.28515625" style="1" customWidth="1"/>
    <col min="14134" max="14148" width="5.7109375" style="1" customWidth="1"/>
    <col min="14149" max="14149" width="10.140625" style="1" customWidth="1"/>
    <col min="14150" max="14150" width="6.5703125" style="1" customWidth="1"/>
    <col min="14151" max="14163" width="5.7109375" style="1" customWidth="1"/>
    <col min="14164" max="14164" width="10.42578125" style="1" customWidth="1"/>
    <col min="14165" max="14165" width="6.7109375" style="1" customWidth="1"/>
    <col min="14166" max="14166" width="6.140625" style="1" customWidth="1"/>
    <col min="14167" max="14167" width="18.85546875" style="1" customWidth="1"/>
    <col min="14168" max="14338" width="8.42578125" style="1"/>
    <col min="14339" max="14339" width="10.42578125" style="1" customWidth="1"/>
    <col min="14340" max="14340" width="17.85546875" style="1" customWidth="1"/>
    <col min="14341" max="14341" width="10.5703125" style="1" customWidth="1"/>
    <col min="14342" max="14342" width="9.7109375" style="1" customWidth="1"/>
    <col min="14343" max="14347" width="8.28515625" style="1" customWidth="1"/>
    <col min="14348" max="14348" width="10" style="1" customWidth="1"/>
    <col min="14349" max="14349" width="8.28515625" style="1" customWidth="1"/>
    <col min="14350" max="14350" width="19.28515625" style="1" customWidth="1"/>
    <col min="14351" max="14351" width="6" style="1" customWidth="1"/>
    <col min="14352" max="14352" width="5.42578125" style="1" customWidth="1"/>
    <col min="14353" max="14353" width="6.5703125" style="1" customWidth="1"/>
    <col min="14354" max="14354" width="5.5703125" style="1" customWidth="1"/>
    <col min="14355" max="14355" width="5.140625" style="1" customWidth="1"/>
    <col min="14356" max="14356" width="7" style="1" customWidth="1"/>
    <col min="14357" max="14357" width="5.140625" style="1" customWidth="1"/>
    <col min="14358" max="14358" width="5.7109375" style="1" customWidth="1"/>
    <col min="14359" max="14360" width="6" style="1" customWidth="1"/>
    <col min="14361" max="14361" width="5" style="1" customWidth="1"/>
    <col min="14362" max="14362" width="6.42578125" style="1" customWidth="1"/>
    <col min="14363" max="14363" width="9.28515625" style="1" customWidth="1"/>
    <col min="14364" max="14365" width="6.85546875" style="1" customWidth="1"/>
    <col min="14366" max="14366" width="19" style="1" customWidth="1"/>
    <col min="14367" max="14384" width="5.7109375" style="1" customWidth="1"/>
    <col min="14385" max="14385" width="9.28515625" style="1" customWidth="1"/>
    <col min="14386" max="14386" width="6.7109375" style="1" customWidth="1"/>
    <col min="14387" max="14388" width="6.28515625" style="1" customWidth="1"/>
    <col min="14389" max="14389" width="19.28515625" style="1" customWidth="1"/>
    <col min="14390" max="14404" width="5.7109375" style="1" customWidth="1"/>
    <col min="14405" max="14405" width="10.140625" style="1" customWidth="1"/>
    <col min="14406" max="14406" width="6.5703125" style="1" customWidth="1"/>
    <col min="14407" max="14419" width="5.7109375" style="1" customWidth="1"/>
    <col min="14420" max="14420" width="10.42578125" style="1" customWidth="1"/>
    <col min="14421" max="14421" width="6.7109375" style="1" customWidth="1"/>
    <col min="14422" max="14422" width="6.140625" style="1" customWidth="1"/>
    <col min="14423" max="14423" width="18.85546875" style="1" customWidth="1"/>
    <col min="14424" max="14594" width="8.42578125" style="1"/>
    <col min="14595" max="14595" width="10.42578125" style="1" customWidth="1"/>
    <col min="14596" max="14596" width="17.85546875" style="1" customWidth="1"/>
    <col min="14597" max="14597" width="10.5703125" style="1" customWidth="1"/>
    <col min="14598" max="14598" width="9.7109375" style="1" customWidth="1"/>
    <col min="14599" max="14603" width="8.28515625" style="1" customWidth="1"/>
    <col min="14604" max="14604" width="10" style="1" customWidth="1"/>
    <col min="14605" max="14605" width="8.28515625" style="1" customWidth="1"/>
    <col min="14606" max="14606" width="19.28515625" style="1" customWidth="1"/>
    <col min="14607" max="14607" width="6" style="1" customWidth="1"/>
    <col min="14608" max="14608" width="5.42578125" style="1" customWidth="1"/>
    <col min="14609" max="14609" width="6.5703125" style="1" customWidth="1"/>
    <col min="14610" max="14610" width="5.5703125" style="1" customWidth="1"/>
    <col min="14611" max="14611" width="5.140625" style="1" customWidth="1"/>
    <col min="14612" max="14612" width="7" style="1" customWidth="1"/>
    <col min="14613" max="14613" width="5.140625" style="1" customWidth="1"/>
    <col min="14614" max="14614" width="5.7109375" style="1" customWidth="1"/>
    <col min="14615" max="14616" width="6" style="1" customWidth="1"/>
    <col min="14617" max="14617" width="5" style="1" customWidth="1"/>
    <col min="14618" max="14618" width="6.42578125" style="1" customWidth="1"/>
    <col min="14619" max="14619" width="9.28515625" style="1" customWidth="1"/>
    <col min="14620" max="14621" width="6.85546875" style="1" customWidth="1"/>
    <col min="14622" max="14622" width="19" style="1" customWidth="1"/>
    <col min="14623" max="14640" width="5.7109375" style="1" customWidth="1"/>
    <col min="14641" max="14641" width="9.28515625" style="1" customWidth="1"/>
    <col min="14642" max="14642" width="6.7109375" style="1" customWidth="1"/>
    <col min="14643" max="14644" width="6.28515625" style="1" customWidth="1"/>
    <col min="14645" max="14645" width="19.28515625" style="1" customWidth="1"/>
    <col min="14646" max="14660" width="5.7109375" style="1" customWidth="1"/>
    <col min="14661" max="14661" width="10.140625" style="1" customWidth="1"/>
    <col min="14662" max="14662" width="6.5703125" style="1" customWidth="1"/>
    <col min="14663" max="14675" width="5.7109375" style="1" customWidth="1"/>
    <col min="14676" max="14676" width="10.42578125" style="1" customWidth="1"/>
    <col min="14677" max="14677" width="6.7109375" style="1" customWidth="1"/>
    <col min="14678" max="14678" width="6.140625" style="1" customWidth="1"/>
    <col min="14679" max="14679" width="18.85546875" style="1" customWidth="1"/>
    <col min="14680" max="14850" width="8.42578125" style="1"/>
    <col min="14851" max="14851" width="10.42578125" style="1" customWidth="1"/>
    <col min="14852" max="14852" width="17.85546875" style="1" customWidth="1"/>
    <col min="14853" max="14853" width="10.5703125" style="1" customWidth="1"/>
    <col min="14854" max="14854" width="9.7109375" style="1" customWidth="1"/>
    <col min="14855" max="14859" width="8.28515625" style="1" customWidth="1"/>
    <col min="14860" max="14860" width="10" style="1" customWidth="1"/>
    <col min="14861" max="14861" width="8.28515625" style="1" customWidth="1"/>
    <col min="14862" max="14862" width="19.28515625" style="1" customWidth="1"/>
    <col min="14863" max="14863" width="6" style="1" customWidth="1"/>
    <col min="14864" max="14864" width="5.42578125" style="1" customWidth="1"/>
    <col min="14865" max="14865" width="6.5703125" style="1" customWidth="1"/>
    <col min="14866" max="14866" width="5.5703125" style="1" customWidth="1"/>
    <col min="14867" max="14867" width="5.140625" style="1" customWidth="1"/>
    <col min="14868" max="14868" width="7" style="1" customWidth="1"/>
    <col min="14869" max="14869" width="5.140625" style="1" customWidth="1"/>
    <col min="14870" max="14870" width="5.7109375" style="1" customWidth="1"/>
    <col min="14871" max="14872" width="6" style="1" customWidth="1"/>
    <col min="14873" max="14873" width="5" style="1" customWidth="1"/>
    <col min="14874" max="14874" width="6.42578125" style="1" customWidth="1"/>
    <col min="14875" max="14875" width="9.28515625" style="1" customWidth="1"/>
    <col min="14876" max="14877" width="6.85546875" style="1" customWidth="1"/>
    <col min="14878" max="14878" width="19" style="1" customWidth="1"/>
    <col min="14879" max="14896" width="5.7109375" style="1" customWidth="1"/>
    <col min="14897" max="14897" width="9.28515625" style="1" customWidth="1"/>
    <col min="14898" max="14898" width="6.7109375" style="1" customWidth="1"/>
    <col min="14899" max="14900" width="6.28515625" style="1" customWidth="1"/>
    <col min="14901" max="14901" width="19.28515625" style="1" customWidth="1"/>
    <col min="14902" max="14916" width="5.7109375" style="1" customWidth="1"/>
    <col min="14917" max="14917" width="10.140625" style="1" customWidth="1"/>
    <col min="14918" max="14918" width="6.5703125" style="1" customWidth="1"/>
    <col min="14919" max="14931" width="5.7109375" style="1" customWidth="1"/>
    <col min="14932" max="14932" width="10.42578125" style="1" customWidth="1"/>
    <col min="14933" max="14933" width="6.7109375" style="1" customWidth="1"/>
    <col min="14934" max="14934" width="6.140625" style="1" customWidth="1"/>
    <col min="14935" max="14935" width="18.85546875" style="1" customWidth="1"/>
    <col min="14936" max="15106" width="8.42578125" style="1"/>
    <col min="15107" max="15107" width="10.42578125" style="1" customWidth="1"/>
    <col min="15108" max="15108" width="17.85546875" style="1" customWidth="1"/>
    <col min="15109" max="15109" width="10.5703125" style="1" customWidth="1"/>
    <col min="15110" max="15110" width="9.7109375" style="1" customWidth="1"/>
    <col min="15111" max="15115" width="8.28515625" style="1" customWidth="1"/>
    <col min="15116" max="15116" width="10" style="1" customWidth="1"/>
    <col min="15117" max="15117" width="8.28515625" style="1" customWidth="1"/>
    <col min="15118" max="15118" width="19.28515625" style="1" customWidth="1"/>
    <col min="15119" max="15119" width="6" style="1" customWidth="1"/>
    <col min="15120" max="15120" width="5.42578125" style="1" customWidth="1"/>
    <col min="15121" max="15121" width="6.5703125" style="1" customWidth="1"/>
    <col min="15122" max="15122" width="5.5703125" style="1" customWidth="1"/>
    <col min="15123" max="15123" width="5.140625" style="1" customWidth="1"/>
    <col min="15124" max="15124" width="7" style="1" customWidth="1"/>
    <col min="15125" max="15125" width="5.140625" style="1" customWidth="1"/>
    <col min="15126" max="15126" width="5.7109375" style="1" customWidth="1"/>
    <col min="15127" max="15128" width="6" style="1" customWidth="1"/>
    <col min="15129" max="15129" width="5" style="1" customWidth="1"/>
    <col min="15130" max="15130" width="6.42578125" style="1" customWidth="1"/>
    <col min="15131" max="15131" width="9.28515625" style="1" customWidth="1"/>
    <col min="15132" max="15133" width="6.85546875" style="1" customWidth="1"/>
    <col min="15134" max="15134" width="19" style="1" customWidth="1"/>
    <col min="15135" max="15152" width="5.7109375" style="1" customWidth="1"/>
    <col min="15153" max="15153" width="9.28515625" style="1" customWidth="1"/>
    <col min="15154" max="15154" width="6.7109375" style="1" customWidth="1"/>
    <col min="15155" max="15156" width="6.28515625" style="1" customWidth="1"/>
    <col min="15157" max="15157" width="19.28515625" style="1" customWidth="1"/>
    <col min="15158" max="15172" width="5.7109375" style="1" customWidth="1"/>
    <col min="15173" max="15173" width="10.140625" style="1" customWidth="1"/>
    <col min="15174" max="15174" width="6.5703125" style="1" customWidth="1"/>
    <col min="15175" max="15187" width="5.7109375" style="1" customWidth="1"/>
    <col min="15188" max="15188" width="10.42578125" style="1" customWidth="1"/>
    <col min="15189" max="15189" width="6.7109375" style="1" customWidth="1"/>
    <col min="15190" max="15190" width="6.140625" style="1" customWidth="1"/>
    <col min="15191" max="15191" width="18.85546875" style="1" customWidth="1"/>
    <col min="15192" max="15362" width="8.42578125" style="1"/>
    <col min="15363" max="15363" width="10.42578125" style="1" customWidth="1"/>
    <col min="15364" max="15364" width="17.85546875" style="1" customWidth="1"/>
    <col min="15365" max="15365" width="10.5703125" style="1" customWidth="1"/>
    <col min="15366" max="15366" width="9.7109375" style="1" customWidth="1"/>
    <col min="15367" max="15371" width="8.28515625" style="1" customWidth="1"/>
    <col min="15372" max="15372" width="10" style="1" customWidth="1"/>
    <col min="15373" max="15373" width="8.28515625" style="1" customWidth="1"/>
    <col min="15374" max="15374" width="19.28515625" style="1" customWidth="1"/>
    <col min="15375" max="15375" width="6" style="1" customWidth="1"/>
    <col min="15376" max="15376" width="5.42578125" style="1" customWidth="1"/>
    <col min="15377" max="15377" width="6.5703125" style="1" customWidth="1"/>
    <col min="15378" max="15378" width="5.5703125" style="1" customWidth="1"/>
    <col min="15379" max="15379" width="5.140625" style="1" customWidth="1"/>
    <col min="15380" max="15380" width="7" style="1" customWidth="1"/>
    <col min="15381" max="15381" width="5.140625" style="1" customWidth="1"/>
    <col min="15382" max="15382" width="5.7109375" style="1" customWidth="1"/>
    <col min="15383" max="15384" width="6" style="1" customWidth="1"/>
    <col min="15385" max="15385" width="5" style="1" customWidth="1"/>
    <col min="15386" max="15386" width="6.42578125" style="1" customWidth="1"/>
    <col min="15387" max="15387" width="9.28515625" style="1" customWidth="1"/>
    <col min="15388" max="15389" width="6.85546875" style="1" customWidth="1"/>
    <col min="15390" max="15390" width="19" style="1" customWidth="1"/>
    <col min="15391" max="15408" width="5.7109375" style="1" customWidth="1"/>
    <col min="15409" max="15409" width="9.28515625" style="1" customWidth="1"/>
    <col min="15410" max="15410" width="6.7109375" style="1" customWidth="1"/>
    <col min="15411" max="15412" width="6.28515625" style="1" customWidth="1"/>
    <col min="15413" max="15413" width="19.28515625" style="1" customWidth="1"/>
    <col min="15414" max="15428" width="5.7109375" style="1" customWidth="1"/>
    <col min="15429" max="15429" width="10.140625" style="1" customWidth="1"/>
    <col min="15430" max="15430" width="6.5703125" style="1" customWidth="1"/>
    <col min="15431" max="15443" width="5.7109375" style="1" customWidth="1"/>
    <col min="15444" max="15444" width="10.42578125" style="1" customWidth="1"/>
    <col min="15445" max="15445" width="6.7109375" style="1" customWidth="1"/>
    <col min="15446" max="15446" width="6.140625" style="1" customWidth="1"/>
    <col min="15447" max="15447" width="18.85546875" style="1" customWidth="1"/>
    <col min="15448" max="15618" width="8.42578125" style="1"/>
    <col min="15619" max="15619" width="10.42578125" style="1" customWidth="1"/>
    <col min="15620" max="15620" width="17.85546875" style="1" customWidth="1"/>
    <col min="15621" max="15621" width="10.5703125" style="1" customWidth="1"/>
    <col min="15622" max="15622" width="9.7109375" style="1" customWidth="1"/>
    <col min="15623" max="15627" width="8.28515625" style="1" customWidth="1"/>
    <col min="15628" max="15628" width="10" style="1" customWidth="1"/>
    <col min="15629" max="15629" width="8.28515625" style="1" customWidth="1"/>
    <col min="15630" max="15630" width="19.28515625" style="1" customWidth="1"/>
    <col min="15631" max="15631" width="6" style="1" customWidth="1"/>
    <col min="15632" max="15632" width="5.42578125" style="1" customWidth="1"/>
    <col min="15633" max="15633" width="6.5703125" style="1" customWidth="1"/>
    <col min="15634" max="15634" width="5.5703125" style="1" customWidth="1"/>
    <col min="15635" max="15635" width="5.140625" style="1" customWidth="1"/>
    <col min="15636" max="15636" width="7" style="1" customWidth="1"/>
    <col min="15637" max="15637" width="5.140625" style="1" customWidth="1"/>
    <col min="15638" max="15638" width="5.7109375" style="1" customWidth="1"/>
    <col min="15639" max="15640" width="6" style="1" customWidth="1"/>
    <col min="15641" max="15641" width="5" style="1" customWidth="1"/>
    <col min="15642" max="15642" width="6.42578125" style="1" customWidth="1"/>
    <col min="15643" max="15643" width="9.28515625" style="1" customWidth="1"/>
    <col min="15644" max="15645" width="6.85546875" style="1" customWidth="1"/>
    <col min="15646" max="15646" width="19" style="1" customWidth="1"/>
    <col min="15647" max="15664" width="5.7109375" style="1" customWidth="1"/>
    <col min="15665" max="15665" width="9.28515625" style="1" customWidth="1"/>
    <col min="15666" max="15666" width="6.7109375" style="1" customWidth="1"/>
    <col min="15667" max="15668" width="6.28515625" style="1" customWidth="1"/>
    <col min="15669" max="15669" width="19.28515625" style="1" customWidth="1"/>
    <col min="15670" max="15684" width="5.7109375" style="1" customWidth="1"/>
    <col min="15685" max="15685" width="10.140625" style="1" customWidth="1"/>
    <col min="15686" max="15686" width="6.5703125" style="1" customWidth="1"/>
    <col min="15687" max="15699" width="5.7109375" style="1" customWidth="1"/>
    <col min="15700" max="15700" width="10.42578125" style="1" customWidth="1"/>
    <col min="15701" max="15701" width="6.7109375" style="1" customWidth="1"/>
    <col min="15702" max="15702" width="6.140625" style="1" customWidth="1"/>
    <col min="15703" max="15703" width="18.85546875" style="1" customWidth="1"/>
    <col min="15704" max="15874" width="8.42578125" style="1"/>
    <col min="15875" max="15875" width="10.42578125" style="1" customWidth="1"/>
    <col min="15876" max="15876" width="17.85546875" style="1" customWidth="1"/>
    <col min="15877" max="15877" width="10.5703125" style="1" customWidth="1"/>
    <col min="15878" max="15878" width="9.7109375" style="1" customWidth="1"/>
    <col min="15879" max="15883" width="8.28515625" style="1" customWidth="1"/>
    <col min="15884" max="15884" width="10" style="1" customWidth="1"/>
    <col min="15885" max="15885" width="8.28515625" style="1" customWidth="1"/>
    <col min="15886" max="15886" width="19.28515625" style="1" customWidth="1"/>
    <col min="15887" max="15887" width="6" style="1" customWidth="1"/>
    <col min="15888" max="15888" width="5.42578125" style="1" customWidth="1"/>
    <col min="15889" max="15889" width="6.5703125" style="1" customWidth="1"/>
    <col min="15890" max="15890" width="5.5703125" style="1" customWidth="1"/>
    <col min="15891" max="15891" width="5.140625" style="1" customWidth="1"/>
    <col min="15892" max="15892" width="7" style="1" customWidth="1"/>
    <col min="15893" max="15893" width="5.140625" style="1" customWidth="1"/>
    <col min="15894" max="15894" width="5.7109375" style="1" customWidth="1"/>
    <col min="15895" max="15896" width="6" style="1" customWidth="1"/>
    <col min="15897" max="15897" width="5" style="1" customWidth="1"/>
    <col min="15898" max="15898" width="6.42578125" style="1" customWidth="1"/>
    <col min="15899" max="15899" width="9.28515625" style="1" customWidth="1"/>
    <col min="15900" max="15901" width="6.85546875" style="1" customWidth="1"/>
    <col min="15902" max="15902" width="19" style="1" customWidth="1"/>
    <col min="15903" max="15920" width="5.7109375" style="1" customWidth="1"/>
    <col min="15921" max="15921" width="9.28515625" style="1" customWidth="1"/>
    <col min="15922" max="15922" width="6.7109375" style="1" customWidth="1"/>
    <col min="15923" max="15924" width="6.28515625" style="1" customWidth="1"/>
    <col min="15925" max="15925" width="19.28515625" style="1" customWidth="1"/>
    <col min="15926" max="15940" width="5.7109375" style="1" customWidth="1"/>
    <col min="15941" max="15941" width="10.140625" style="1" customWidth="1"/>
    <col min="15942" max="15942" width="6.5703125" style="1" customWidth="1"/>
    <col min="15943" max="15955" width="5.7109375" style="1" customWidth="1"/>
    <col min="15956" max="15956" width="10.42578125" style="1" customWidth="1"/>
    <col min="15957" max="15957" width="6.7109375" style="1" customWidth="1"/>
    <col min="15958" max="15958" width="6.140625" style="1" customWidth="1"/>
    <col min="15959" max="15959" width="18.85546875" style="1" customWidth="1"/>
    <col min="15960" max="16130" width="8.42578125" style="1"/>
    <col min="16131" max="16131" width="10.42578125" style="1" customWidth="1"/>
    <col min="16132" max="16132" width="17.85546875" style="1" customWidth="1"/>
    <col min="16133" max="16133" width="10.5703125" style="1" customWidth="1"/>
    <col min="16134" max="16134" width="9.7109375" style="1" customWidth="1"/>
    <col min="16135" max="16139" width="8.28515625" style="1" customWidth="1"/>
    <col min="16140" max="16140" width="10" style="1" customWidth="1"/>
    <col min="16141" max="16141" width="8.28515625" style="1" customWidth="1"/>
    <col min="16142" max="16142" width="19.28515625" style="1" customWidth="1"/>
    <col min="16143" max="16143" width="6" style="1" customWidth="1"/>
    <col min="16144" max="16144" width="5.42578125" style="1" customWidth="1"/>
    <col min="16145" max="16145" width="6.5703125" style="1" customWidth="1"/>
    <col min="16146" max="16146" width="5.5703125" style="1" customWidth="1"/>
    <col min="16147" max="16147" width="5.140625" style="1" customWidth="1"/>
    <col min="16148" max="16148" width="7" style="1" customWidth="1"/>
    <col min="16149" max="16149" width="5.140625" style="1" customWidth="1"/>
    <col min="16150" max="16150" width="5.7109375" style="1" customWidth="1"/>
    <col min="16151" max="16152" width="6" style="1" customWidth="1"/>
    <col min="16153" max="16153" width="5" style="1" customWidth="1"/>
    <col min="16154" max="16154" width="6.42578125" style="1" customWidth="1"/>
    <col min="16155" max="16155" width="9.28515625" style="1" customWidth="1"/>
    <col min="16156" max="16157" width="6.85546875" style="1" customWidth="1"/>
    <col min="16158" max="16158" width="19" style="1" customWidth="1"/>
    <col min="16159" max="16176" width="5.7109375" style="1" customWidth="1"/>
    <col min="16177" max="16177" width="9.28515625" style="1" customWidth="1"/>
    <col min="16178" max="16178" width="6.7109375" style="1" customWidth="1"/>
    <col min="16179" max="16180" width="6.28515625" style="1" customWidth="1"/>
    <col min="16181" max="16181" width="19.28515625" style="1" customWidth="1"/>
    <col min="16182" max="16196" width="5.7109375" style="1" customWidth="1"/>
    <col min="16197" max="16197" width="10.140625" style="1" customWidth="1"/>
    <col min="16198" max="16198" width="6.5703125" style="1" customWidth="1"/>
    <col min="16199" max="16211" width="5.7109375" style="1" customWidth="1"/>
    <col min="16212" max="16212" width="10.42578125" style="1" customWidth="1"/>
    <col min="16213" max="16213" width="6.7109375" style="1" customWidth="1"/>
    <col min="16214" max="16214" width="6.140625" style="1" customWidth="1"/>
    <col min="16215" max="16215" width="18.85546875" style="1" customWidth="1"/>
    <col min="16216" max="16384" width="8.42578125" style="1"/>
  </cols>
  <sheetData>
    <row r="1" spans="1:87" ht="15" customHeight="1">
      <c r="B1" s="370" t="s">
        <v>386</v>
      </c>
      <c r="C1" s="370"/>
      <c r="D1" s="370"/>
      <c r="E1" s="370"/>
      <c r="F1" s="370"/>
      <c r="G1" s="370"/>
      <c r="H1" s="370"/>
      <c r="I1" s="370"/>
      <c r="J1" s="370"/>
      <c r="K1" s="370"/>
      <c r="L1" s="364" t="s">
        <v>387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 t="s">
        <v>390</v>
      </c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364"/>
      <c r="AO1" s="364"/>
      <c r="AP1" s="364"/>
      <c r="AQ1" s="364"/>
      <c r="AR1" s="364"/>
      <c r="AS1" s="364"/>
      <c r="AT1" s="364"/>
      <c r="AU1" s="364"/>
      <c r="AV1" s="364"/>
      <c r="AW1" s="364"/>
      <c r="AX1" s="364"/>
      <c r="AY1" s="236" t="s">
        <v>389</v>
      </c>
      <c r="AZ1" s="105" t="s">
        <v>71</v>
      </c>
      <c r="BA1" s="105"/>
      <c r="BB1" s="105"/>
      <c r="BC1" s="105"/>
      <c r="BD1" s="105"/>
      <c r="BE1" s="62"/>
      <c r="BF1" s="105" t="s">
        <v>70</v>
      </c>
      <c r="BG1" s="105"/>
      <c r="BH1" s="105"/>
      <c r="BI1" s="105"/>
      <c r="BJ1" s="105"/>
      <c r="BK1" s="105"/>
      <c r="BL1" s="105"/>
      <c r="BM1" s="105"/>
      <c r="BN1" s="62"/>
      <c r="BO1" s="63"/>
      <c r="BP1" s="63"/>
      <c r="BQ1" s="62"/>
      <c r="BR1" s="63"/>
      <c r="BS1" s="364" t="s">
        <v>388</v>
      </c>
      <c r="BT1" s="364"/>
      <c r="BU1" s="364"/>
      <c r="BV1" s="364"/>
      <c r="BW1" s="364"/>
      <c r="BX1" s="364"/>
      <c r="BY1" s="364"/>
      <c r="BZ1" s="364"/>
      <c r="CA1" s="364"/>
      <c r="CB1" s="364"/>
      <c r="CC1" s="364"/>
      <c r="CD1" s="364"/>
      <c r="CE1" s="364"/>
      <c r="CF1" s="364"/>
      <c r="CG1" s="364"/>
      <c r="CH1" s="364"/>
      <c r="CI1" s="364"/>
    </row>
    <row r="2" spans="1:87">
      <c r="A2" s="3" t="s">
        <v>68</v>
      </c>
      <c r="B2" s="62" t="s">
        <v>34</v>
      </c>
      <c r="C2" s="108" t="s">
        <v>67</v>
      </c>
      <c r="D2" s="108" t="s">
        <v>66</v>
      </c>
      <c r="E2" s="108" t="s">
        <v>65</v>
      </c>
      <c r="F2" s="108" t="s">
        <v>64</v>
      </c>
      <c r="G2" s="108" t="s">
        <v>63</v>
      </c>
      <c r="H2" s="108" t="s">
        <v>62</v>
      </c>
      <c r="I2" s="108" t="s">
        <v>61</v>
      </c>
      <c r="J2" s="108" t="s">
        <v>60</v>
      </c>
      <c r="K2" s="108" t="s">
        <v>59</v>
      </c>
      <c r="L2" s="62" t="s">
        <v>34</v>
      </c>
      <c r="M2" s="111" t="s">
        <v>58</v>
      </c>
      <c r="N2" s="105"/>
      <c r="O2" s="134"/>
      <c r="P2" s="111" t="s">
        <v>57</v>
      </c>
      <c r="Q2" s="105"/>
      <c r="R2" s="134"/>
      <c r="S2" s="111" t="s">
        <v>138</v>
      </c>
      <c r="T2" s="105"/>
      <c r="U2" s="134"/>
      <c r="V2" s="111" t="s">
        <v>139</v>
      </c>
      <c r="W2" s="105"/>
      <c r="X2" s="134"/>
      <c r="Y2" s="45" t="s">
        <v>35</v>
      </c>
      <c r="Z2" s="45" t="s">
        <v>36</v>
      </c>
      <c r="AA2" s="87"/>
      <c r="AB2" s="32" t="s">
        <v>34</v>
      </c>
      <c r="AC2" s="111" t="s">
        <v>140</v>
      </c>
      <c r="AD2" s="105"/>
      <c r="AE2" s="134"/>
      <c r="AF2" s="111" t="s">
        <v>141</v>
      </c>
      <c r="AG2" s="105"/>
      <c r="AH2" s="134"/>
      <c r="AI2" s="111" t="s">
        <v>142</v>
      </c>
      <c r="AJ2" s="105"/>
      <c r="AK2" s="134"/>
      <c r="AL2" s="111" t="s">
        <v>143</v>
      </c>
      <c r="AM2" s="105"/>
      <c r="AN2" s="134"/>
      <c r="AO2" s="111" t="s">
        <v>106</v>
      </c>
      <c r="AP2" s="105"/>
      <c r="AQ2" s="134"/>
      <c r="AR2" s="111" t="s">
        <v>107</v>
      </c>
      <c r="AS2" s="105"/>
      <c r="AT2" s="134"/>
      <c r="AU2" s="62" t="s">
        <v>35</v>
      </c>
      <c r="AV2" s="45" t="s">
        <v>36</v>
      </c>
      <c r="AW2" s="45" t="s">
        <v>144</v>
      </c>
      <c r="AX2" s="45"/>
      <c r="AY2" s="32" t="s">
        <v>34</v>
      </c>
      <c r="AZ2" s="135" t="s">
        <v>46</v>
      </c>
      <c r="BA2" s="85"/>
      <c r="BB2" s="84"/>
      <c r="BC2" s="135" t="s">
        <v>108</v>
      </c>
      <c r="BD2" s="85"/>
      <c r="BE2" s="84"/>
      <c r="BF2" s="135" t="s">
        <v>44</v>
      </c>
      <c r="BG2" s="85"/>
      <c r="BH2" s="84"/>
      <c r="BI2" s="135" t="s">
        <v>145</v>
      </c>
      <c r="BJ2" s="85"/>
      <c r="BK2" s="84"/>
      <c r="BL2" s="135" t="s">
        <v>42</v>
      </c>
      <c r="BM2" s="85"/>
      <c r="BN2" s="84"/>
      <c r="BO2" s="45" t="s">
        <v>35</v>
      </c>
      <c r="BP2" s="45" t="s">
        <v>36</v>
      </c>
      <c r="BQ2" s="45" t="s">
        <v>41</v>
      </c>
      <c r="BR2" s="87"/>
      <c r="BS2" s="86" t="s">
        <v>40</v>
      </c>
      <c r="BT2" s="85"/>
      <c r="BU2" s="84"/>
      <c r="BV2" s="86" t="s">
        <v>39</v>
      </c>
      <c r="BW2" s="85"/>
      <c r="BX2" s="84"/>
      <c r="BY2" s="86" t="s">
        <v>146</v>
      </c>
      <c r="BZ2" s="85"/>
      <c r="CA2" s="84"/>
      <c r="CB2" s="86" t="s">
        <v>147</v>
      </c>
      <c r="CC2" s="85"/>
      <c r="CD2" s="84"/>
      <c r="CE2" s="45" t="s">
        <v>35</v>
      </c>
      <c r="CF2" s="45" t="s">
        <v>36</v>
      </c>
      <c r="CG2" s="45" t="s">
        <v>35</v>
      </c>
      <c r="CH2" s="45"/>
      <c r="CI2" s="32" t="s">
        <v>34</v>
      </c>
    </row>
    <row r="3" spans="1:87">
      <c r="A3" s="3"/>
      <c r="B3" s="106" t="s">
        <v>158</v>
      </c>
      <c r="C3" s="48">
        <v>34342</v>
      </c>
      <c r="D3" s="47" t="s">
        <v>19</v>
      </c>
      <c r="E3" s="32">
        <v>166</v>
      </c>
      <c r="F3" s="3">
        <v>45</v>
      </c>
      <c r="G3" s="32">
        <v>73</v>
      </c>
      <c r="H3" s="136">
        <v>1.1579999999999999</v>
      </c>
      <c r="I3" s="137">
        <f t="shared" ref="I3:I12" si="0">F3/(E3/100)^2</f>
        <v>16.330381768036002</v>
      </c>
      <c r="J3" s="43" t="s">
        <v>82</v>
      </c>
      <c r="K3" s="32">
        <f t="shared" ref="K3:K12" si="1">((E3-F3)*E3)/(H3*2*G3)</f>
        <v>118.80426810514113</v>
      </c>
      <c r="L3" s="106" t="s">
        <v>158</v>
      </c>
      <c r="M3" s="32">
        <v>186</v>
      </c>
      <c r="N3" s="40">
        <v>16</v>
      </c>
      <c r="O3" s="30">
        <f t="shared" ref="O3:O11" si="2">IF(M3=0,"",IF(M3&lt;170,2,IF(AND(M3&gt;=170,M3&lt;175),3,IF(AND(M3&gt;=175,M3&lt;180),4,IF(AND(M3&gt;=180),5)))))</f>
        <v>5</v>
      </c>
      <c r="P3" s="32">
        <v>4.4000000000000004</v>
      </c>
      <c r="Q3" s="40">
        <v>20</v>
      </c>
      <c r="R3" s="30">
        <f t="shared" ref="R3:R12" si="3">IF(P3=0,"",IF(P3&gt;5.8,2,IF(AND(P3&lt;=5.8,P3&gt;5.5),3,IF(AND(P3&lt;=5.5,P3&gt;5.2),4,IF(AND(P3&lt;=5.2),5)))))</f>
        <v>5</v>
      </c>
      <c r="S3" s="32">
        <v>9.3000000000000007</v>
      </c>
      <c r="T3" s="40">
        <v>20</v>
      </c>
      <c r="U3" s="30">
        <f t="shared" ref="U3:U12" si="4">IF(S3=0,"",IF(S3&gt;11,2,IF(AND(S3&lt;=11,S3&gt;10.7),3,IF(AND(S3&lt;=10.7,S3&gt;10.4),4,IF(AND(S3&lt;=10.4),5)))))</f>
        <v>5</v>
      </c>
      <c r="V3" s="32">
        <v>1700</v>
      </c>
      <c r="W3" s="40">
        <v>20</v>
      </c>
      <c r="X3" s="30">
        <f t="shared" ref="X3:X12" si="5">IF(V3=0,"",IF(V3&lt;1000,2,IF(AND(V3&gt;=1000,V3&lt;1200),3,IF(AND(V3&gt;=1200,V3&lt;1310),4,IF(AND(V3&gt;=1310),5)))))</f>
        <v>5</v>
      </c>
      <c r="Y3" s="40">
        <f t="shared" ref="Y3:Y12" si="6">SUM(N3,Q3,T3,W3)</f>
        <v>76</v>
      </c>
      <c r="Z3" s="30">
        <f t="shared" ref="Z3:Z11" si="7">IF(Y3=0,"",IF(Y3&lt;4,2,IF(AND(Y3&gt;=4,Y3&lt;16),3,IF(AND(Y3&gt;=16,Y3&lt;30),4,IF(AND(Y3&gt;=30),5)))))</f>
        <v>5</v>
      </c>
      <c r="AA3" s="223">
        <v>5</v>
      </c>
      <c r="AB3" s="106" t="s">
        <v>158</v>
      </c>
      <c r="AC3" s="45">
        <v>39</v>
      </c>
      <c r="AD3" s="66">
        <v>18</v>
      </c>
      <c r="AE3" s="30">
        <f t="shared" ref="AE3:AE12" si="8">IF(AC3=0,"",IF(AC3&lt;35,2,IF(AND(AC3&gt;=35,AC3&lt;40),3,IF(AND(AC3&gt;=40,AC3&lt;45),4,IF(AND(AC3&gt;=45),5)))))</f>
        <v>3</v>
      </c>
      <c r="AF3" s="45">
        <v>7</v>
      </c>
      <c r="AG3" s="66">
        <v>8</v>
      </c>
      <c r="AH3" s="30">
        <f t="shared" ref="AH3:AH12" si="9">IF(AF3=0,"",IF(AF3&lt;5,2,IF(AND(AF3&gt;=5,AF3&lt;6),3,IF(AND(AF3&gt;=6,AF3&lt;8),4,IF(AND(AF3&gt;=8),5)))))</f>
        <v>4</v>
      </c>
      <c r="AI3" s="45">
        <v>134</v>
      </c>
      <c r="AJ3" s="66">
        <v>19</v>
      </c>
      <c r="AK3" s="30">
        <f t="shared" ref="AK3:AK12" si="10">IF(AI3=0,"",IF(AI3&lt;85,2,IF(AND(AI3&gt;=85,AI3&lt;95),3,IF(AND(AI3&gt;=95,AI3&lt;105),4,IF(AND(AI3&gt;=105),5)))))</f>
        <v>5</v>
      </c>
      <c r="AL3" s="45">
        <v>8</v>
      </c>
      <c r="AM3" s="66">
        <v>10</v>
      </c>
      <c r="AN3" s="30">
        <f t="shared" ref="AN3:AN12" si="11">IF(AL3=0,"",IF(AL3&lt;5,2,IF(AND(AL3&gt;=5,AL3&lt;6),3,IF(AND(AL3&gt;=6,AL3&lt;8),4,IF(AND(AL3&gt;=8),5)))))</f>
        <v>5</v>
      </c>
      <c r="AO3" s="45">
        <v>12</v>
      </c>
      <c r="AP3" s="66">
        <v>12</v>
      </c>
      <c r="AQ3" s="30">
        <f t="shared" ref="AQ3:AQ12" si="12">IF(AO3=0,"",IF(AO3&lt;1,2,IF(AND(AO3&gt;=1,AO3&lt;5),3,IF(AND(AO3&gt;=5,AO3&lt;10),4,IF(AND(AO3&gt;=10),5)))))</f>
        <v>5</v>
      </c>
      <c r="AR3" s="45">
        <v>9</v>
      </c>
      <c r="AS3" s="66">
        <v>9</v>
      </c>
      <c r="AT3" s="30">
        <f t="shared" ref="AT3:AT12" si="13">IF(AR3=0,"",IF(AR3&lt;1,2,IF(AND(AR3&gt;=1,AR3&lt;5),3,IF(AND(AR3&gt;=5,AR3&lt;10),4,IF(AND(AR3&gt;=10),5)))))</f>
        <v>4</v>
      </c>
      <c r="AU3" s="40">
        <f t="shared" ref="AU3:AU12" si="14">SUM(AD3,AG3,AJ3,AM3,AP3,AS3)</f>
        <v>76</v>
      </c>
      <c r="AV3" s="30">
        <f t="shared" ref="AV3:AV12" si="15">IF(AU3=0,"",IF(AU3&lt;6,2,IF(AND(AU3&gt;=6,AU3&lt;20),3,IF(AND(AU3&gt;=20,AU3&lt;46),4,IF(AND(AU3&gt;=46),5)))))</f>
        <v>5</v>
      </c>
      <c r="AW3" s="40">
        <f t="shared" ref="AW3:AW12" si="16">SUM(Y3,AU3)</f>
        <v>152</v>
      </c>
      <c r="AX3" s="41"/>
      <c r="AY3" s="106" t="s">
        <v>158</v>
      </c>
      <c r="AZ3" s="32">
        <v>6.51</v>
      </c>
      <c r="BA3" s="349">
        <v>10</v>
      </c>
      <c r="BB3" s="30">
        <v>5</v>
      </c>
      <c r="BC3" s="32">
        <v>16.29</v>
      </c>
      <c r="BD3" s="349">
        <v>5</v>
      </c>
      <c r="BE3" s="30">
        <v>4</v>
      </c>
      <c r="BF3" s="32">
        <v>2</v>
      </c>
      <c r="BG3" s="349">
        <v>0</v>
      </c>
      <c r="BH3" s="30">
        <f t="shared" ref="BH3:BH12" si="17">IF(BF3=0,"",IF(BF3&lt;6,2,IF(AND(BF3&gt;=6,BF3&lt;8),3,IF(AND(BF3&gt;=8,BF3&lt;10),4,IF(AND(BF3&gt;=10),5)))))</f>
        <v>2</v>
      </c>
      <c r="BI3" s="32">
        <v>11.9</v>
      </c>
      <c r="BJ3" s="349">
        <v>17</v>
      </c>
      <c r="BK3" s="30">
        <f t="shared" ref="BK3:BK12" si="18">IF(BI3=0,"",IF(BI3&gt;15.2,2,IF(AND(BI3&lt;=15.2,BI3&gt;14),3,IF(AND(BI3&lt;=14,BI3&gt;13),4,IF(AND(BI3&lt;=13),5)))))</f>
        <v>5</v>
      </c>
      <c r="BL3" s="32">
        <v>8</v>
      </c>
      <c r="BM3" s="349">
        <v>17</v>
      </c>
      <c r="BN3" s="30">
        <f t="shared" ref="BN3:BN12" si="19">IF(BL3=0,"",IF(BL3&lt;2,2,IF(AND(BL3&gt;=2,BL3&lt;4),3,IF(AND(BL3&gt;=4,BL3&lt;5),4,IF(AND(BL3&gt;=5),5)))))</f>
        <v>5</v>
      </c>
      <c r="BO3" s="40">
        <f t="shared" ref="BO3:BO12" si="20">SUM(BA3,BD3,BG3,BJ3,BM3)</f>
        <v>49</v>
      </c>
      <c r="BP3" s="30">
        <f t="shared" ref="BP3:BP11" si="21">IF(BO3=0,"",IF(BO3&lt;5,2,IF(AND(BO3&gt;=5,BO3&lt;17),3,IF(AND(BO3&gt;=17,BO3&lt;40),4,IF(AND(BO3&gt;=40),5)))))</f>
        <v>5</v>
      </c>
      <c r="BQ3" s="40">
        <f t="shared" ref="BQ3:BQ12" si="22">SUM(AW3,BO3)</f>
        <v>201</v>
      </c>
      <c r="BR3" s="41"/>
      <c r="BS3" s="32">
        <v>8.1999999999999993</v>
      </c>
      <c r="BT3" s="349">
        <v>20</v>
      </c>
      <c r="BU3" s="30">
        <f t="shared" ref="BU3:BU12" si="23">IF(BS3=0,"",IF(BS3&gt;11,2,IF(AND(BS3&lt;=11,BS3&gt;10.2),3,IF(AND(BS3&lt;=10.2,BS3&gt;9.4),4,IF(AND(BS3&lt;=9.4),5)))))</f>
        <v>5</v>
      </c>
      <c r="BV3" s="32">
        <v>7.3900000000000006</v>
      </c>
      <c r="BW3" s="349">
        <v>3</v>
      </c>
      <c r="BX3" s="30">
        <f t="shared" ref="BX3:BX12" si="24">IF(BV3=0,"",IF(BV3&gt;8,2,IF(AND(BV3&lt;=8,BV3&gt;7.3),3,IF(AND(BV3&lt;=7.3,BV3&gt;7),4,IF(AND(BV3&lt;=7),5)))))</f>
        <v>3</v>
      </c>
      <c r="BY3" s="32">
        <v>45</v>
      </c>
      <c r="BZ3" s="349">
        <v>20</v>
      </c>
      <c r="CA3" s="30">
        <f t="shared" ref="CA3:CA12" si="25">IF(BY3=0,"",IF(BY3&lt;23,2,IF(AND(BY3&gt;=23,BY3&lt;31),3,IF(AND(BY3&gt;=31,BY3&lt;39),4,IF(AND(BY3&gt;=39),5)))))</f>
        <v>5</v>
      </c>
      <c r="CB3" s="32">
        <v>22</v>
      </c>
      <c r="CC3" s="349">
        <v>20</v>
      </c>
      <c r="CD3" s="30">
        <f t="shared" ref="CD3:CD12" si="26">IF(CB3=0,"",IF(CB3&lt;4,2,IF(AND(CB3&gt;=4,CB3&lt;8),3,IF(AND(CB3&gt;=8,CB3&lt;15),4,IF(AND(CB3&gt;=15),5)))))</f>
        <v>5</v>
      </c>
      <c r="CE3" s="40">
        <f t="shared" ref="CE3:CE12" si="27">SUM(BT3,BW3,BZ3,CC3)</f>
        <v>63</v>
      </c>
      <c r="CF3" s="30">
        <f t="shared" ref="CF3:CF12" si="28">IF(CE3=0,"",IF(CE3&lt;4,2,IF(AND(CE3&gt;=4,CE3&lt;16),3,IF(AND(CE3&gt;=16,CE3&lt;30),4,IF(AND(CE3&gt;=30),5)))))</f>
        <v>5</v>
      </c>
      <c r="CG3" s="40">
        <f t="shared" ref="CG3:CG12" si="29">SUM(BQ3,CE3)</f>
        <v>264</v>
      </c>
      <c r="CH3" s="41"/>
      <c r="CI3" s="106" t="s">
        <v>158</v>
      </c>
    </row>
    <row r="4" spans="1:87">
      <c r="A4" s="3"/>
      <c r="B4" s="106" t="s">
        <v>159</v>
      </c>
      <c r="C4" s="67">
        <v>35022</v>
      </c>
      <c r="D4" s="47" t="s">
        <v>19</v>
      </c>
      <c r="E4" s="32">
        <v>158</v>
      </c>
      <c r="F4" s="3">
        <v>48</v>
      </c>
      <c r="G4" s="32">
        <v>71</v>
      </c>
      <c r="H4" s="136">
        <v>1.1459999999999999</v>
      </c>
      <c r="I4" s="137">
        <f t="shared" si="0"/>
        <v>19.227687870533565</v>
      </c>
      <c r="J4" s="43" t="s">
        <v>26</v>
      </c>
      <c r="K4" s="32">
        <f t="shared" si="1"/>
        <v>106.80136666420864</v>
      </c>
      <c r="L4" s="106" t="s">
        <v>159</v>
      </c>
      <c r="M4" s="32">
        <v>202</v>
      </c>
      <c r="N4" s="40">
        <v>20</v>
      </c>
      <c r="O4" s="30">
        <f t="shared" si="2"/>
        <v>5</v>
      </c>
      <c r="P4" s="32">
        <v>4.4000000000000004</v>
      </c>
      <c r="Q4" s="40">
        <v>20</v>
      </c>
      <c r="R4" s="30">
        <f t="shared" si="3"/>
        <v>5</v>
      </c>
      <c r="S4" s="32">
        <v>9.3000000000000007</v>
      </c>
      <c r="T4" s="40">
        <v>20</v>
      </c>
      <c r="U4" s="30">
        <f t="shared" si="4"/>
        <v>5</v>
      </c>
      <c r="V4" s="32">
        <v>1650</v>
      </c>
      <c r="W4" s="40">
        <v>20</v>
      </c>
      <c r="X4" s="30">
        <f t="shared" si="5"/>
        <v>5</v>
      </c>
      <c r="Y4" s="40">
        <f t="shared" si="6"/>
        <v>80</v>
      </c>
      <c r="Z4" s="30">
        <f t="shared" si="7"/>
        <v>5</v>
      </c>
      <c r="AA4" s="223">
        <v>5</v>
      </c>
      <c r="AB4" s="106" t="s">
        <v>159</v>
      </c>
      <c r="AC4" s="32">
        <v>55</v>
      </c>
      <c r="AD4" s="40">
        <v>20</v>
      </c>
      <c r="AE4" s="30">
        <f t="shared" si="8"/>
        <v>5</v>
      </c>
      <c r="AF4" s="32">
        <v>3</v>
      </c>
      <c r="AG4" s="40">
        <v>0</v>
      </c>
      <c r="AH4" s="30">
        <f t="shared" si="9"/>
        <v>2</v>
      </c>
      <c r="AI4" s="32">
        <v>170</v>
      </c>
      <c r="AJ4" s="40">
        <v>20</v>
      </c>
      <c r="AK4" s="30">
        <f t="shared" si="10"/>
        <v>5</v>
      </c>
      <c r="AL4" s="32">
        <v>10</v>
      </c>
      <c r="AM4" s="40">
        <v>14</v>
      </c>
      <c r="AN4" s="30">
        <f t="shared" si="11"/>
        <v>5</v>
      </c>
      <c r="AO4" s="32">
        <v>10</v>
      </c>
      <c r="AP4" s="40">
        <v>10</v>
      </c>
      <c r="AQ4" s="30">
        <f t="shared" si="12"/>
        <v>5</v>
      </c>
      <c r="AR4" s="32">
        <v>10</v>
      </c>
      <c r="AS4" s="40">
        <v>10</v>
      </c>
      <c r="AT4" s="30">
        <f t="shared" si="13"/>
        <v>5</v>
      </c>
      <c r="AU4" s="40">
        <f t="shared" si="14"/>
        <v>74</v>
      </c>
      <c r="AV4" s="30">
        <f t="shared" si="15"/>
        <v>5</v>
      </c>
      <c r="AW4" s="40">
        <f t="shared" si="16"/>
        <v>154</v>
      </c>
      <c r="AX4" s="41"/>
      <c r="AY4" s="106" t="s">
        <v>159</v>
      </c>
      <c r="AZ4" s="32"/>
      <c r="BA4" s="349"/>
      <c r="BB4" s="30" t="str">
        <f>IF(AZ4=0,"",IF(AZ4&gt;7,2,IF(AND(AZ4&lt;=7,AZ4&gt;6.3),3,IF(AND(AZ4&lt;=6.3,AZ4&gt;6),4,IF(AND(AZ4&lt;=6),5)))))</f>
        <v/>
      </c>
      <c r="BC4" s="32"/>
      <c r="BD4" s="349"/>
      <c r="BE4" s="30" t="str">
        <f>IF(BC4=0,"",IF(BC4&gt;14.3,2,IF(AND(BC4&lt;=14.3,BC4&gt;14),3,IF(AND(BC4&lt;=14,BC4&gt;13),4,IF(AND(BC4&lt;=13),5)))))</f>
        <v/>
      </c>
      <c r="BF4" s="32">
        <v>10</v>
      </c>
      <c r="BG4" s="349">
        <v>10</v>
      </c>
      <c r="BH4" s="30">
        <f t="shared" si="17"/>
        <v>5</v>
      </c>
      <c r="BI4" s="32">
        <v>10.9</v>
      </c>
      <c r="BJ4" s="349">
        <v>20</v>
      </c>
      <c r="BK4" s="30">
        <f t="shared" si="18"/>
        <v>5</v>
      </c>
      <c r="BL4" s="32">
        <v>3</v>
      </c>
      <c r="BM4" s="349">
        <v>3</v>
      </c>
      <c r="BN4" s="30">
        <f t="shared" si="19"/>
        <v>3</v>
      </c>
      <c r="BO4" s="40">
        <f t="shared" si="20"/>
        <v>33</v>
      </c>
      <c r="BP4" s="30">
        <f t="shared" si="21"/>
        <v>4</v>
      </c>
      <c r="BQ4" s="40">
        <f t="shared" si="22"/>
        <v>187</v>
      </c>
      <c r="BR4" s="41"/>
      <c r="BS4" s="32">
        <v>8.1</v>
      </c>
      <c r="BT4" s="349">
        <v>20</v>
      </c>
      <c r="BU4" s="30">
        <f t="shared" si="23"/>
        <v>5</v>
      </c>
      <c r="BV4" s="32">
        <v>6.36</v>
      </c>
      <c r="BW4" s="349">
        <v>14</v>
      </c>
      <c r="BX4" s="30">
        <f t="shared" si="24"/>
        <v>5</v>
      </c>
      <c r="BY4" s="32">
        <v>44</v>
      </c>
      <c r="BZ4" s="349">
        <v>20</v>
      </c>
      <c r="CA4" s="30">
        <f t="shared" si="25"/>
        <v>5</v>
      </c>
      <c r="CB4" s="32">
        <v>22</v>
      </c>
      <c r="CC4" s="349">
        <v>20</v>
      </c>
      <c r="CD4" s="30">
        <f t="shared" si="26"/>
        <v>5</v>
      </c>
      <c r="CE4" s="40">
        <f t="shared" si="27"/>
        <v>74</v>
      </c>
      <c r="CF4" s="30">
        <f t="shared" si="28"/>
        <v>5</v>
      </c>
      <c r="CG4" s="40">
        <f t="shared" si="29"/>
        <v>261</v>
      </c>
      <c r="CH4" s="223">
        <v>5</v>
      </c>
      <c r="CI4" s="106" t="s">
        <v>159</v>
      </c>
    </row>
    <row r="5" spans="1:87">
      <c r="A5" s="3"/>
      <c r="B5" s="106" t="s">
        <v>160</v>
      </c>
      <c r="C5" s="48">
        <v>35001</v>
      </c>
      <c r="D5" s="47" t="s">
        <v>19</v>
      </c>
      <c r="E5" s="32">
        <v>150</v>
      </c>
      <c r="F5" s="3">
        <v>44</v>
      </c>
      <c r="G5" s="32">
        <v>67</v>
      </c>
      <c r="H5" s="136">
        <v>1.1459999999999999</v>
      </c>
      <c r="I5" s="137">
        <f t="shared" si="0"/>
        <v>19.555555555555557</v>
      </c>
      <c r="J5" s="43" t="s">
        <v>26</v>
      </c>
      <c r="K5" s="32">
        <f t="shared" si="1"/>
        <v>103.53989216222553</v>
      </c>
      <c r="L5" s="106" t="s">
        <v>160</v>
      </c>
      <c r="M5" s="32">
        <v>166</v>
      </c>
      <c r="N5" s="40">
        <v>0</v>
      </c>
      <c r="O5" s="30">
        <f t="shared" si="2"/>
        <v>2</v>
      </c>
      <c r="P5" s="32">
        <v>4.7</v>
      </c>
      <c r="Q5" s="40">
        <v>18</v>
      </c>
      <c r="R5" s="30">
        <f t="shared" si="3"/>
        <v>5</v>
      </c>
      <c r="S5" s="32">
        <v>9.8000000000000007</v>
      </c>
      <c r="T5" s="40">
        <v>20</v>
      </c>
      <c r="U5" s="30">
        <f t="shared" si="4"/>
        <v>5</v>
      </c>
      <c r="V5" s="32">
        <v>1600</v>
      </c>
      <c r="W5" s="40">
        <v>20</v>
      </c>
      <c r="X5" s="30">
        <f t="shared" si="5"/>
        <v>5</v>
      </c>
      <c r="Y5" s="40">
        <f t="shared" si="6"/>
        <v>58</v>
      </c>
      <c r="Z5" s="30">
        <f t="shared" si="7"/>
        <v>5</v>
      </c>
      <c r="AA5" s="41"/>
      <c r="AB5" s="106" t="s">
        <v>160</v>
      </c>
      <c r="AC5" s="32">
        <v>35</v>
      </c>
      <c r="AD5" s="40">
        <v>10</v>
      </c>
      <c r="AE5" s="30">
        <f t="shared" si="8"/>
        <v>3</v>
      </c>
      <c r="AF5" s="32">
        <v>4</v>
      </c>
      <c r="AG5" s="40">
        <v>0</v>
      </c>
      <c r="AH5" s="30">
        <f t="shared" si="9"/>
        <v>2</v>
      </c>
      <c r="AI5" s="32">
        <v>131</v>
      </c>
      <c r="AJ5" s="40">
        <v>18</v>
      </c>
      <c r="AK5" s="30">
        <f t="shared" si="10"/>
        <v>5</v>
      </c>
      <c r="AL5" s="32">
        <v>8</v>
      </c>
      <c r="AM5" s="40">
        <v>10</v>
      </c>
      <c r="AN5" s="30">
        <f t="shared" si="11"/>
        <v>5</v>
      </c>
      <c r="AO5" s="32">
        <v>7</v>
      </c>
      <c r="AP5" s="40">
        <v>7</v>
      </c>
      <c r="AQ5" s="30">
        <f t="shared" si="12"/>
        <v>4</v>
      </c>
      <c r="AR5" s="32">
        <v>10</v>
      </c>
      <c r="AS5" s="40">
        <v>10</v>
      </c>
      <c r="AT5" s="30">
        <f t="shared" si="13"/>
        <v>5</v>
      </c>
      <c r="AU5" s="40">
        <f t="shared" si="14"/>
        <v>55</v>
      </c>
      <c r="AV5" s="30">
        <f t="shared" si="15"/>
        <v>5</v>
      </c>
      <c r="AW5" s="40">
        <f t="shared" si="16"/>
        <v>113</v>
      </c>
      <c r="AX5" s="41"/>
      <c r="AY5" s="106" t="s">
        <v>160</v>
      </c>
      <c r="AZ5" s="32">
        <v>6.33</v>
      </c>
      <c r="BA5" s="349">
        <v>10</v>
      </c>
      <c r="BB5" s="30">
        <v>5</v>
      </c>
      <c r="BC5" s="32">
        <v>13.35</v>
      </c>
      <c r="BD5" s="349">
        <v>15</v>
      </c>
      <c r="BE5" s="30">
        <v>5</v>
      </c>
      <c r="BF5" s="32">
        <v>7</v>
      </c>
      <c r="BG5" s="349">
        <v>3</v>
      </c>
      <c r="BH5" s="30">
        <f t="shared" si="17"/>
        <v>3</v>
      </c>
      <c r="BI5" s="32">
        <v>11</v>
      </c>
      <c r="BJ5" s="349">
        <v>20</v>
      </c>
      <c r="BK5" s="30">
        <f t="shared" si="18"/>
        <v>5</v>
      </c>
      <c r="BL5" s="32">
        <v>6</v>
      </c>
      <c r="BM5" s="349">
        <v>13</v>
      </c>
      <c r="BN5" s="30">
        <f t="shared" si="19"/>
        <v>5</v>
      </c>
      <c r="BO5" s="40">
        <f t="shared" si="20"/>
        <v>61</v>
      </c>
      <c r="BP5" s="30">
        <f t="shared" si="21"/>
        <v>5</v>
      </c>
      <c r="BQ5" s="40">
        <f t="shared" si="22"/>
        <v>174</v>
      </c>
      <c r="BR5" s="41"/>
      <c r="BS5" s="32">
        <v>8.8000000000000007</v>
      </c>
      <c r="BT5" s="349">
        <v>20</v>
      </c>
      <c r="BU5" s="30">
        <f t="shared" si="23"/>
        <v>5</v>
      </c>
      <c r="BV5" s="32">
        <v>6.42</v>
      </c>
      <c r="BW5" s="349">
        <v>13</v>
      </c>
      <c r="BX5" s="30">
        <f t="shared" si="24"/>
        <v>5</v>
      </c>
      <c r="BY5" s="32">
        <v>36</v>
      </c>
      <c r="BZ5" s="349">
        <v>7</v>
      </c>
      <c r="CA5" s="30">
        <f t="shared" si="25"/>
        <v>4</v>
      </c>
      <c r="CB5" s="32">
        <v>22</v>
      </c>
      <c r="CC5" s="349">
        <v>20</v>
      </c>
      <c r="CD5" s="30">
        <f t="shared" si="26"/>
        <v>5</v>
      </c>
      <c r="CE5" s="40">
        <f t="shared" si="27"/>
        <v>60</v>
      </c>
      <c r="CF5" s="30">
        <f t="shared" si="28"/>
        <v>5</v>
      </c>
      <c r="CG5" s="40">
        <f t="shared" si="29"/>
        <v>234</v>
      </c>
      <c r="CH5" s="41"/>
      <c r="CI5" s="106" t="s">
        <v>160</v>
      </c>
    </row>
    <row r="6" spans="1:87">
      <c r="A6" s="3"/>
      <c r="B6" s="144" t="s">
        <v>161</v>
      </c>
      <c r="C6" s="100">
        <v>34894</v>
      </c>
      <c r="D6" s="47" t="s">
        <v>19</v>
      </c>
      <c r="E6" s="32">
        <v>151</v>
      </c>
      <c r="F6" s="32">
        <v>40</v>
      </c>
      <c r="G6" s="32">
        <v>68</v>
      </c>
      <c r="H6" s="136">
        <v>1.1459999999999999</v>
      </c>
      <c r="I6" s="137">
        <f t="shared" si="0"/>
        <v>17.543090215341433</v>
      </c>
      <c r="J6" s="43" t="s">
        <v>30</v>
      </c>
      <c r="K6" s="32">
        <f t="shared" si="1"/>
        <v>107.54157684016015</v>
      </c>
      <c r="L6" s="144" t="s">
        <v>161</v>
      </c>
      <c r="M6" s="32">
        <v>177</v>
      </c>
      <c r="N6" s="40">
        <v>7</v>
      </c>
      <c r="O6" s="30">
        <f t="shared" si="2"/>
        <v>4</v>
      </c>
      <c r="P6" s="32">
        <v>4.9000000000000004</v>
      </c>
      <c r="Q6" s="40">
        <v>14</v>
      </c>
      <c r="R6" s="30">
        <f t="shared" si="3"/>
        <v>5</v>
      </c>
      <c r="S6" s="32">
        <v>9.8000000000000007</v>
      </c>
      <c r="T6" s="40">
        <v>20</v>
      </c>
      <c r="U6" s="30">
        <f t="shared" si="4"/>
        <v>5</v>
      </c>
      <c r="V6" s="32"/>
      <c r="W6" s="40"/>
      <c r="X6" s="30" t="str">
        <f t="shared" si="5"/>
        <v/>
      </c>
      <c r="Y6" s="40">
        <f t="shared" si="6"/>
        <v>41</v>
      </c>
      <c r="Z6" s="30">
        <f t="shared" si="7"/>
        <v>5</v>
      </c>
      <c r="AA6" s="41"/>
      <c r="AB6" s="144" t="s">
        <v>161</v>
      </c>
      <c r="AC6" s="32">
        <v>38</v>
      </c>
      <c r="AD6" s="40">
        <v>16</v>
      </c>
      <c r="AE6" s="30">
        <f t="shared" si="8"/>
        <v>3</v>
      </c>
      <c r="AF6" s="32">
        <v>10</v>
      </c>
      <c r="AG6" s="40">
        <v>14</v>
      </c>
      <c r="AH6" s="30">
        <f t="shared" si="9"/>
        <v>5</v>
      </c>
      <c r="AI6" s="32">
        <v>151</v>
      </c>
      <c r="AJ6" s="40">
        <v>20</v>
      </c>
      <c r="AK6" s="30">
        <f t="shared" si="10"/>
        <v>5</v>
      </c>
      <c r="AL6" s="32">
        <v>2</v>
      </c>
      <c r="AM6" s="40">
        <v>0</v>
      </c>
      <c r="AN6" s="30">
        <f t="shared" si="11"/>
        <v>2</v>
      </c>
      <c r="AO6" s="32">
        <v>9</v>
      </c>
      <c r="AP6" s="40">
        <v>9</v>
      </c>
      <c r="AQ6" s="30">
        <f t="shared" si="12"/>
        <v>4</v>
      </c>
      <c r="AR6" s="32">
        <v>9</v>
      </c>
      <c r="AS6" s="40">
        <v>9</v>
      </c>
      <c r="AT6" s="30">
        <f t="shared" si="13"/>
        <v>4</v>
      </c>
      <c r="AU6" s="40">
        <f t="shared" si="14"/>
        <v>68</v>
      </c>
      <c r="AV6" s="30">
        <f t="shared" si="15"/>
        <v>5</v>
      </c>
      <c r="AW6" s="40">
        <f t="shared" si="16"/>
        <v>109</v>
      </c>
      <c r="AX6" s="41"/>
      <c r="AY6" s="144" t="s">
        <v>161</v>
      </c>
      <c r="AZ6" s="32">
        <v>7.18</v>
      </c>
      <c r="BA6" s="349">
        <v>5</v>
      </c>
      <c r="BB6" s="30">
        <v>4</v>
      </c>
      <c r="BC6" s="32">
        <v>14.530000000000001</v>
      </c>
      <c r="BD6" s="349">
        <v>5</v>
      </c>
      <c r="BE6" s="30">
        <v>4</v>
      </c>
      <c r="BF6" s="32">
        <v>20</v>
      </c>
      <c r="BG6" s="349">
        <v>20</v>
      </c>
      <c r="BH6" s="30">
        <f t="shared" si="17"/>
        <v>5</v>
      </c>
      <c r="BI6" s="32">
        <v>11.6</v>
      </c>
      <c r="BJ6" s="349">
        <v>20</v>
      </c>
      <c r="BK6" s="30">
        <f t="shared" si="18"/>
        <v>5</v>
      </c>
      <c r="BL6" s="32">
        <v>9</v>
      </c>
      <c r="BM6" s="349">
        <v>19</v>
      </c>
      <c r="BN6" s="30">
        <f t="shared" si="19"/>
        <v>5</v>
      </c>
      <c r="BO6" s="40">
        <f t="shared" si="20"/>
        <v>69</v>
      </c>
      <c r="BP6" s="30">
        <f t="shared" si="21"/>
        <v>5</v>
      </c>
      <c r="BQ6" s="40">
        <f t="shared" si="22"/>
        <v>178</v>
      </c>
      <c r="BR6" s="41"/>
      <c r="BS6" s="32">
        <v>8.6999999999999993</v>
      </c>
      <c r="BT6" s="349">
        <v>20</v>
      </c>
      <c r="BU6" s="30">
        <f t="shared" si="23"/>
        <v>5</v>
      </c>
      <c r="BV6" s="32">
        <v>6.42</v>
      </c>
      <c r="BW6" s="349">
        <v>13</v>
      </c>
      <c r="BX6" s="30">
        <f t="shared" si="24"/>
        <v>5</v>
      </c>
      <c r="BY6" s="32">
        <v>35</v>
      </c>
      <c r="BZ6" s="349">
        <v>7</v>
      </c>
      <c r="CA6" s="30">
        <f t="shared" si="25"/>
        <v>4</v>
      </c>
      <c r="CB6" s="32">
        <v>12</v>
      </c>
      <c r="CC6" s="349">
        <v>8</v>
      </c>
      <c r="CD6" s="30">
        <f t="shared" si="26"/>
        <v>4</v>
      </c>
      <c r="CE6" s="40">
        <f t="shared" si="27"/>
        <v>48</v>
      </c>
      <c r="CF6" s="30">
        <f t="shared" si="28"/>
        <v>5</v>
      </c>
      <c r="CG6" s="40">
        <f t="shared" si="29"/>
        <v>226</v>
      </c>
      <c r="CH6" s="41"/>
      <c r="CI6" s="144" t="s">
        <v>161</v>
      </c>
    </row>
    <row r="7" spans="1:87">
      <c r="A7" s="3"/>
      <c r="B7" s="144" t="s">
        <v>162</v>
      </c>
      <c r="C7" s="100">
        <v>34836</v>
      </c>
      <c r="D7" s="47" t="s">
        <v>19</v>
      </c>
      <c r="E7" s="32">
        <v>154</v>
      </c>
      <c r="F7" s="32">
        <v>40</v>
      </c>
      <c r="G7" s="32">
        <v>68</v>
      </c>
      <c r="H7" s="136">
        <v>1.1459999999999999</v>
      </c>
      <c r="I7" s="137">
        <f t="shared" si="0"/>
        <v>16.866250632484398</v>
      </c>
      <c r="J7" s="43" t="s">
        <v>82</v>
      </c>
      <c r="K7" s="32">
        <f t="shared" si="1"/>
        <v>112.64243917462274</v>
      </c>
      <c r="L7" s="144" t="s">
        <v>162</v>
      </c>
      <c r="M7" s="32">
        <v>187</v>
      </c>
      <c r="N7" s="40">
        <v>17</v>
      </c>
      <c r="O7" s="30">
        <f t="shared" si="2"/>
        <v>5</v>
      </c>
      <c r="P7" s="32">
        <v>4.7</v>
      </c>
      <c r="Q7" s="40">
        <v>18</v>
      </c>
      <c r="R7" s="30">
        <f t="shared" si="3"/>
        <v>5</v>
      </c>
      <c r="S7" s="32">
        <v>9.8000000000000007</v>
      </c>
      <c r="T7" s="40">
        <v>20</v>
      </c>
      <c r="U7" s="30">
        <f t="shared" si="4"/>
        <v>5</v>
      </c>
      <c r="V7" s="32">
        <v>1460</v>
      </c>
      <c r="W7" s="40">
        <v>20</v>
      </c>
      <c r="X7" s="30">
        <f t="shared" si="5"/>
        <v>5</v>
      </c>
      <c r="Y7" s="40">
        <f t="shared" si="6"/>
        <v>75</v>
      </c>
      <c r="Z7" s="30">
        <f t="shared" si="7"/>
        <v>5</v>
      </c>
      <c r="AA7" s="223">
        <v>5</v>
      </c>
      <c r="AB7" s="144" t="s">
        <v>162</v>
      </c>
      <c r="AC7" s="32">
        <v>48</v>
      </c>
      <c r="AD7" s="40">
        <v>20</v>
      </c>
      <c r="AE7" s="30">
        <f t="shared" si="8"/>
        <v>5</v>
      </c>
      <c r="AF7" s="32">
        <v>13</v>
      </c>
      <c r="AG7" s="40">
        <v>19</v>
      </c>
      <c r="AH7" s="30">
        <f t="shared" si="9"/>
        <v>5</v>
      </c>
      <c r="AI7" s="32">
        <v>93</v>
      </c>
      <c r="AJ7" s="40">
        <v>4</v>
      </c>
      <c r="AK7" s="30">
        <f t="shared" si="10"/>
        <v>3</v>
      </c>
      <c r="AL7" s="32">
        <v>5</v>
      </c>
      <c r="AM7" s="40">
        <v>1</v>
      </c>
      <c r="AN7" s="30">
        <f t="shared" si="11"/>
        <v>3</v>
      </c>
      <c r="AO7" s="32">
        <v>14</v>
      </c>
      <c r="AP7" s="40">
        <v>14</v>
      </c>
      <c r="AQ7" s="30">
        <f t="shared" si="12"/>
        <v>5</v>
      </c>
      <c r="AR7" s="32">
        <v>10</v>
      </c>
      <c r="AS7" s="40">
        <v>10</v>
      </c>
      <c r="AT7" s="30">
        <f t="shared" si="13"/>
        <v>5</v>
      </c>
      <c r="AU7" s="40">
        <f t="shared" si="14"/>
        <v>68</v>
      </c>
      <c r="AV7" s="30">
        <f t="shared" si="15"/>
        <v>5</v>
      </c>
      <c r="AW7" s="40">
        <f t="shared" si="16"/>
        <v>143</v>
      </c>
      <c r="AX7" s="41"/>
      <c r="AY7" s="144" t="s">
        <v>162</v>
      </c>
      <c r="AZ7" s="32">
        <v>10.57</v>
      </c>
      <c r="BA7" s="349">
        <v>0</v>
      </c>
      <c r="BB7" s="30">
        <f>IF(AZ7=0,"",IF(AZ7&gt;7,2,IF(AND(AZ7&lt;=7,AZ7&gt;6.3),3,IF(AND(AZ7&lt;=6.3,AZ7&gt;6),4,IF(AND(AZ7&lt;=6),5)))))</f>
        <v>2</v>
      </c>
      <c r="BC7" s="32">
        <v>22.19</v>
      </c>
      <c r="BD7" s="349">
        <v>0</v>
      </c>
      <c r="BE7" s="30">
        <f>IF(BC7=0,"",IF(BC7&gt;14.3,2,IF(AND(BC7&lt;=14.3,BC7&gt;14),3,IF(AND(BC7&lt;=14,BC7&gt;13),4,IF(AND(BC7&lt;=13),5)))))</f>
        <v>2</v>
      </c>
      <c r="BF7" s="32">
        <v>7</v>
      </c>
      <c r="BG7" s="349">
        <v>3</v>
      </c>
      <c r="BH7" s="30">
        <f t="shared" si="17"/>
        <v>3</v>
      </c>
      <c r="BI7" s="32">
        <v>12.8</v>
      </c>
      <c r="BJ7" s="349">
        <v>12</v>
      </c>
      <c r="BK7" s="30">
        <f t="shared" si="18"/>
        <v>5</v>
      </c>
      <c r="BL7" s="32">
        <v>5</v>
      </c>
      <c r="BM7" s="349">
        <v>10</v>
      </c>
      <c r="BN7" s="30">
        <f t="shared" si="19"/>
        <v>5</v>
      </c>
      <c r="BO7" s="40">
        <f t="shared" si="20"/>
        <v>25</v>
      </c>
      <c r="BP7" s="30">
        <f t="shared" si="21"/>
        <v>4</v>
      </c>
      <c r="BQ7" s="40">
        <f t="shared" si="22"/>
        <v>168</v>
      </c>
      <c r="BR7" s="41"/>
      <c r="BS7" s="32">
        <v>8.6999999999999993</v>
      </c>
      <c r="BT7" s="349">
        <v>20</v>
      </c>
      <c r="BU7" s="30">
        <f t="shared" si="23"/>
        <v>5</v>
      </c>
      <c r="BV7" s="32">
        <v>12.21</v>
      </c>
      <c r="BW7" s="349">
        <v>0</v>
      </c>
      <c r="BX7" s="30">
        <f t="shared" si="24"/>
        <v>2</v>
      </c>
      <c r="BY7" s="32">
        <v>41</v>
      </c>
      <c r="BZ7" s="349">
        <v>14</v>
      </c>
      <c r="CA7" s="30">
        <f t="shared" si="25"/>
        <v>5</v>
      </c>
      <c r="CB7" s="32"/>
      <c r="CC7" s="349">
        <v>0</v>
      </c>
      <c r="CD7" s="30" t="str">
        <f t="shared" si="26"/>
        <v/>
      </c>
      <c r="CE7" s="40">
        <f t="shared" si="27"/>
        <v>34</v>
      </c>
      <c r="CF7" s="30">
        <f t="shared" si="28"/>
        <v>5</v>
      </c>
      <c r="CG7" s="40">
        <f t="shared" si="29"/>
        <v>202</v>
      </c>
      <c r="CH7" s="41"/>
      <c r="CI7" s="144" t="s">
        <v>162</v>
      </c>
    </row>
    <row r="8" spans="1:87">
      <c r="A8" s="3"/>
      <c r="B8" s="106" t="s">
        <v>163</v>
      </c>
      <c r="C8" s="48">
        <v>34804</v>
      </c>
      <c r="D8" s="47" t="s">
        <v>19</v>
      </c>
      <c r="E8" s="32">
        <v>154</v>
      </c>
      <c r="F8" s="32">
        <v>45</v>
      </c>
      <c r="G8" s="32">
        <v>73</v>
      </c>
      <c r="H8" s="136">
        <v>1.1459999999999999</v>
      </c>
      <c r="I8" s="137">
        <f t="shared" si="0"/>
        <v>18.974531961544947</v>
      </c>
      <c r="J8" s="43" t="s">
        <v>26</v>
      </c>
      <c r="K8" s="32">
        <f t="shared" si="1"/>
        <v>100.32513328073826</v>
      </c>
      <c r="L8" s="106" t="s">
        <v>163</v>
      </c>
      <c r="M8" s="32">
        <v>177</v>
      </c>
      <c r="N8" s="40">
        <v>7</v>
      </c>
      <c r="O8" s="30">
        <f t="shared" si="2"/>
        <v>4</v>
      </c>
      <c r="P8" s="32">
        <v>5</v>
      </c>
      <c r="Q8" s="40">
        <v>12</v>
      </c>
      <c r="R8" s="30">
        <f t="shared" si="3"/>
        <v>5</v>
      </c>
      <c r="S8" s="32">
        <v>9.9</v>
      </c>
      <c r="T8" s="40">
        <v>20</v>
      </c>
      <c r="U8" s="30">
        <f t="shared" si="4"/>
        <v>5</v>
      </c>
      <c r="V8" s="32">
        <v>1360</v>
      </c>
      <c r="W8" s="40">
        <v>13</v>
      </c>
      <c r="X8" s="30">
        <f t="shared" si="5"/>
        <v>5</v>
      </c>
      <c r="Y8" s="40">
        <f t="shared" si="6"/>
        <v>52</v>
      </c>
      <c r="Z8" s="30">
        <f t="shared" si="7"/>
        <v>5</v>
      </c>
      <c r="AA8" s="41"/>
      <c r="AB8" s="106" t="s">
        <v>163</v>
      </c>
      <c r="AC8" s="32">
        <v>37</v>
      </c>
      <c r="AD8" s="40">
        <v>14</v>
      </c>
      <c r="AE8" s="30">
        <f t="shared" si="8"/>
        <v>3</v>
      </c>
      <c r="AF8" s="32">
        <v>7</v>
      </c>
      <c r="AG8" s="40">
        <v>8</v>
      </c>
      <c r="AH8" s="30">
        <f t="shared" si="9"/>
        <v>4</v>
      </c>
      <c r="AI8" s="32">
        <v>112</v>
      </c>
      <c r="AJ8" s="40">
        <v>12</v>
      </c>
      <c r="AK8" s="30">
        <f t="shared" si="10"/>
        <v>5</v>
      </c>
      <c r="AL8" s="32">
        <v>3</v>
      </c>
      <c r="AM8" s="40">
        <v>0</v>
      </c>
      <c r="AN8" s="30">
        <f t="shared" si="11"/>
        <v>2</v>
      </c>
      <c r="AO8" s="32">
        <v>18</v>
      </c>
      <c r="AP8" s="40">
        <v>18</v>
      </c>
      <c r="AQ8" s="30">
        <f t="shared" si="12"/>
        <v>5</v>
      </c>
      <c r="AR8" s="32">
        <v>8</v>
      </c>
      <c r="AS8" s="40">
        <v>8</v>
      </c>
      <c r="AT8" s="30">
        <f t="shared" si="13"/>
        <v>4</v>
      </c>
      <c r="AU8" s="40">
        <f t="shared" si="14"/>
        <v>60</v>
      </c>
      <c r="AV8" s="30">
        <f t="shared" si="15"/>
        <v>5</v>
      </c>
      <c r="AW8" s="40">
        <f t="shared" si="16"/>
        <v>112</v>
      </c>
      <c r="AX8" s="41"/>
      <c r="AY8" s="106" t="s">
        <v>163</v>
      </c>
      <c r="AZ8" s="32"/>
      <c r="BA8" s="349"/>
      <c r="BB8" s="30" t="str">
        <f>IF(AZ8=0,"",IF(AZ8&gt;7,2,IF(AND(AZ8&lt;=7,AZ8&gt;6.3),3,IF(AND(AZ8&lt;=6.3,AZ8&gt;6),4,IF(AND(AZ8&lt;=6),5)))))</f>
        <v/>
      </c>
      <c r="BC8" s="32"/>
      <c r="BD8" s="349"/>
      <c r="BE8" s="30" t="str">
        <f>IF(BC8=0,"",IF(BC8&gt;14.3,2,IF(AND(BC8&lt;=14.3,BC8&gt;14),3,IF(AND(BC8&lt;=14,BC8&gt;13),4,IF(AND(BC8&lt;=13),5)))))</f>
        <v/>
      </c>
      <c r="BF8" s="32">
        <v>20</v>
      </c>
      <c r="BG8" s="349">
        <v>20</v>
      </c>
      <c r="BH8" s="30">
        <f t="shared" si="17"/>
        <v>5</v>
      </c>
      <c r="BI8" s="32">
        <v>12.3</v>
      </c>
      <c r="BJ8" s="349">
        <v>13</v>
      </c>
      <c r="BK8" s="30">
        <f t="shared" si="18"/>
        <v>5</v>
      </c>
      <c r="BL8" s="32">
        <v>10</v>
      </c>
      <c r="BM8" s="349">
        <v>20</v>
      </c>
      <c r="BN8" s="30">
        <f t="shared" si="19"/>
        <v>5</v>
      </c>
      <c r="BO8" s="40">
        <f t="shared" si="20"/>
        <v>53</v>
      </c>
      <c r="BP8" s="30">
        <f t="shared" si="21"/>
        <v>5</v>
      </c>
      <c r="BQ8" s="40">
        <f t="shared" si="22"/>
        <v>165</v>
      </c>
      <c r="BR8" s="41"/>
      <c r="BS8" s="32">
        <v>9.1</v>
      </c>
      <c r="BT8" s="349">
        <v>18</v>
      </c>
      <c r="BU8" s="30">
        <f t="shared" si="23"/>
        <v>5</v>
      </c>
      <c r="BV8" s="32">
        <v>7.28</v>
      </c>
      <c r="BW8" s="349">
        <v>5</v>
      </c>
      <c r="BX8" s="30">
        <f t="shared" si="24"/>
        <v>4</v>
      </c>
      <c r="BY8" s="32">
        <v>31</v>
      </c>
      <c r="BZ8" s="349">
        <v>4</v>
      </c>
      <c r="CA8" s="30">
        <f t="shared" si="25"/>
        <v>4</v>
      </c>
      <c r="CB8" s="32">
        <v>10</v>
      </c>
      <c r="CC8" s="349">
        <v>6</v>
      </c>
      <c r="CD8" s="30">
        <f t="shared" si="26"/>
        <v>4</v>
      </c>
      <c r="CE8" s="40">
        <f t="shared" si="27"/>
        <v>33</v>
      </c>
      <c r="CF8" s="30">
        <f t="shared" si="28"/>
        <v>5</v>
      </c>
      <c r="CG8" s="40">
        <f t="shared" si="29"/>
        <v>198</v>
      </c>
      <c r="CH8" s="41"/>
      <c r="CI8" s="106" t="s">
        <v>163</v>
      </c>
    </row>
    <row r="9" spans="1:87">
      <c r="A9" s="3"/>
      <c r="B9" s="106" t="s">
        <v>164</v>
      </c>
      <c r="C9" s="48">
        <v>35055</v>
      </c>
      <c r="D9" s="47" t="s">
        <v>19</v>
      </c>
      <c r="E9" s="32">
        <v>149</v>
      </c>
      <c r="F9" s="32">
        <v>40</v>
      </c>
      <c r="G9" s="32">
        <v>66</v>
      </c>
      <c r="H9" s="136">
        <v>1.1459999999999999</v>
      </c>
      <c r="I9" s="137">
        <f t="shared" si="0"/>
        <v>18.017206432142697</v>
      </c>
      <c r="J9" s="43" t="s">
        <v>30</v>
      </c>
      <c r="K9" s="32">
        <f t="shared" si="1"/>
        <v>107.36289597546143</v>
      </c>
      <c r="L9" s="106" t="s">
        <v>164</v>
      </c>
      <c r="M9" s="32">
        <v>160</v>
      </c>
      <c r="N9" s="40">
        <v>0</v>
      </c>
      <c r="O9" s="30">
        <f t="shared" si="2"/>
        <v>2</v>
      </c>
      <c r="P9" s="32">
        <v>5</v>
      </c>
      <c r="Q9" s="40">
        <v>12</v>
      </c>
      <c r="R9" s="30">
        <f t="shared" si="3"/>
        <v>5</v>
      </c>
      <c r="S9" s="32">
        <v>10.3</v>
      </c>
      <c r="T9" s="40">
        <v>12</v>
      </c>
      <c r="U9" s="30">
        <f t="shared" si="4"/>
        <v>5</v>
      </c>
      <c r="V9" s="32">
        <v>1550</v>
      </c>
      <c r="W9" s="40">
        <v>20</v>
      </c>
      <c r="X9" s="30">
        <f t="shared" si="5"/>
        <v>5</v>
      </c>
      <c r="Y9" s="40">
        <f t="shared" si="6"/>
        <v>44</v>
      </c>
      <c r="Z9" s="30">
        <f t="shared" si="7"/>
        <v>5</v>
      </c>
      <c r="AA9" s="41"/>
      <c r="AB9" s="106" t="s">
        <v>164</v>
      </c>
      <c r="AC9" s="32">
        <v>37</v>
      </c>
      <c r="AD9" s="40">
        <v>2</v>
      </c>
      <c r="AE9" s="30">
        <f t="shared" si="8"/>
        <v>3</v>
      </c>
      <c r="AF9" s="32">
        <v>4</v>
      </c>
      <c r="AG9" s="40">
        <v>0</v>
      </c>
      <c r="AH9" s="30">
        <f t="shared" si="9"/>
        <v>2</v>
      </c>
      <c r="AI9" s="32">
        <v>118</v>
      </c>
      <c r="AJ9" s="40">
        <v>14</v>
      </c>
      <c r="AK9" s="30">
        <f t="shared" si="10"/>
        <v>5</v>
      </c>
      <c r="AL9" s="32">
        <v>3</v>
      </c>
      <c r="AM9" s="40">
        <v>0</v>
      </c>
      <c r="AN9" s="30">
        <f t="shared" si="11"/>
        <v>2</v>
      </c>
      <c r="AO9" s="32">
        <v>9</v>
      </c>
      <c r="AP9" s="40">
        <v>9</v>
      </c>
      <c r="AQ9" s="30">
        <f t="shared" si="12"/>
        <v>4</v>
      </c>
      <c r="AR9" s="32">
        <v>10</v>
      </c>
      <c r="AS9" s="40">
        <v>10</v>
      </c>
      <c r="AT9" s="30">
        <f t="shared" si="13"/>
        <v>5</v>
      </c>
      <c r="AU9" s="40">
        <f t="shared" si="14"/>
        <v>35</v>
      </c>
      <c r="AV9" s="30">
        <f t="shared" si="15"/>
        <v>4</v>
      </c>
      <c r="AW9" s="40">
        <f t="shared" si="16"/>
        <v>79</v>
      </c>
      <c r="AX9" s="41"/>
      <c r="AY9" s="106" t="s">
        <v>164</v>
      </c>
      <c r="AZ9" s="32">
        <v>6.51</v>
      </c>
      <c r="BA9" s="349">
        <v>10</v>
      </c>
      <c r="BB9" s="30">
        <v>5</v>
      </c>
      <c r="BC9" s="32">
        <v>13.35</v>
      </c>
      <c r="BD9" s="349">
        <v>15</v>
      </c>
      <c r="BE9" s="30">
        <v>5</v>
      </c>
      <c r="BF9" s="32">
        <v>20</v>
      </c>
      <c r="BG9" s="349">
        <v>20</v>
      </c>
      <c r="BH9" s="30">
        <f t="shared" si="17"/>
        <v>5</v>
      </c>
      <c r="BI9" s="32">
        <v>12.5</v>
      </c>
      <c r="BJ9" s="349">
        <v>12</v>
      </c>
      <c r="BK9" s="30">
        <f t="shared" si="18"/>
        <v>5</v>
      </c>
      <c r="BL9" s="32">
        <v>5</v>
      </c>
      <c r="BM9" s="349">
        <v>10</v>
      </c>
      <c r="BN9" s="30">
        <f t="shared" si="19"/>
        <v>5</v>
      </c>
      <c r="BO9" s="40">
        <f t="shared" si="20"/>
        <v>67</v>
      </c>
      <c r="BP9" s="30">
        <f t="shared" si="21"/>
        <v>5</v>
      </c>
      <c r="BQ9" s="40">
        <f t="shared" si="22"/>
        <v>146</v>
      </c>
      <c r="BR9" s="223">
        <v>5</v>
      </c>
      <c r="BS9" s="32">
        <v>9.5</v>
      </c>
      <c r="BT9" s="349">
        <v>9</v>
      </c>
      <c r="BU9" s="30">
        <f t="shared" si="23"/>
        <v>4</v>
      </c>
      <c r="BV9" s="32">
        <v>6.3500000000000005</v>
      </c>
      <c r="BW9" s="349">
        <v>15</v>
      </c>
      <c r="BX9" s="30">
        <f t="shared" si="24"/>
        <v>5</v>
      </c>
      <c r="BY9" s="32">
        <v>31</v>
      </c>
      <c r="BZ9" s="349">
        <v>5</v>
      </c>
      <c r="CA9" s="30">
        <f t="shared" si="25"/>
        <v>4</v>
      </c>
      <c r="CB9" s="32">
        <v>12</v>
      </c>
      <c r="CC9" s="349">
        <v>8</v>
      </c>
      <c r="CD9" s="30">
        <f t="shared" si="26"/>
        <v>4</v>
      </c>
      <c r="CE9" s="40">
        <f t="shared" si="27"/>
        <v>37</v>
      </c>
      <c r="CF9" s="30">
        <f t="shared" si="28"/>
        <v>5</v>
      </c>
      <c r="CG9" s="40">
        <f t="shared" si="29"/>
        <v>183</v>
      </c>
      <c r="CH9" s="41"/>
      <c r="CI9" s="106" t="s">
        <v>164</v>
      </c>
    </row>
    <row r="10" spans="1:87">
      <c r="A10" s="3"/>
      <c r="B10" s="92" t="s">
        <v>165</v>
      </c>
      <c r="C10" s="145">
        <v>35220</v>
      </c>
      <c r="D10" s="47" t="s">
        <v>19</v>
      </c>
      <c r="E10" s="32">
        <v>149</v>
      </c>
      <c r="F10" s="32">
        <v>45</v>
      </c>
      <c r="G10" s="32">
        <v>71</v>
      </c>
      <c r="H10" s="136">
        <v>1.1379999999999999</v>
      </c>
      <c r="I10" s="137">
        <f t="shared" si="0"/>
        <v>20.269357236160534</v>
      </c>
      <c r="J10" s="43" t="s">
        <v>26</v>
      </c>
      <c r="K10" s="32">
        <f t="shared" si="1"/>
        <v>95.893462709473027</v>
      </c>
      <c r="L10" s="92" t="s">
        <v>165</v>
      </c>
      <c r="M10" s="32">
        <v>185</v>
      </c>
      <c r="N10" s="40">
        <v>15</v>
      </c>
      <c r="O10" s="30">
        <f t="shared" si="2"/>
        <v>5</v>
      </c>
      <c r="P10" s="32">
        <v>4.9000000000000004</v>
      </c>
      <c r="Q10" s="40">
        <v>14</v>
      </c>
      <c r="R10" s="30">
        <f t="shared" si="3"/>
        <v>5</v>
      </c>
      <c r="S10" s="32">
        <v>10.3</v>
      </c>
      <c r="T10" s="40">
        <v>12</v>
      </c>
      <c r="U10" s="30">
        <f t="shared" si="4"/>
        <v>5</v>
      </c>
      <c r="V10" s="32">
        <v>1500</v>
      </c>
      <c r="W10" s="40">
        <v>20</v>
      </c>
      <c r="X10" s="30">
        <f t="shared" si="5"/>
        <v>5</v>
      </c>
      <c r="Y10" s="40">
        <f t="shared" si="6"/>
        <v>61</v>
      </c>
      <c r="Z10" s="30">
        <f t="shared" si="7"/>
        <v>5</v>
      </c>
      <c r="AA10" s="223">
        <v>5</v>
      </c>
      <c r="AB10" s="92" t="s">
        <v>165</v>
      </c>
      <c r="AC10" s="32">
        <v>30</v>
      </c>
      <c r="AD10" s="40">
        <v>0</v>
      </c>
      <c r="AE10" s="30">
        <f t="shared" si="8"/>
        <v>2</v>
      </c>
      <c r="AF10" s="32">
        <v>5</v>
      </c>
      <c r="AG10" s="40">
        <v>1</v>
      </c>
      <c r="AH10" s="30">
        <f t="shared" si="9"/>
        <v>3</v>
      </c>
      <c r="AI10" s="32">
        <v>125</v>
      </c>
      <c r="AJ10" s="40">
        <v>16</v>
      </c>
      <c r="AK10" s="30">
        <f t="shared" si="10"/>
        <v>5</v>
      </c>
      <c r="AL10" s="32">
        <v>3</v>
      </c>
      <c r="AM10" s="40">
        <v>0</v>
      </c>
      <c r="AN10" s="30">
        <f t="shared" si="11"/>
        <v>2</v>
      </c>
      <c r="AO10" s="32">
        <v>10</v>
      </c>
      <c r="AP10" s="40">
        <v>10</v>
      </c>
      <c r="AQ10" s="30">
        <f t="shared" si="12"/>
        <v>5</v>
      </c>
      <c r="AR10" s="32">
        <v>9</v>
      </c>
      <c r="AS10" s="40">
        <v>9</v>
      </c>
      <c r="AT10" s="30">
        <f t="shared" si="13"/>
        <v>4</v>
      </c>
      <c r="AU10" s="40">
        <f t="shared" si="14"/>
        <v>36</v>
      </c>
      <c r="AV10" s="30">
        <f t="shared" si="15"/>
        <v>4</v>
      </c>
      <c r="AW10" s="40">
        <f t="shared" si="16"/>
        <v>97</v>
      </c>
      <c r="AX10" s="41"/>
      <c r="AY10" s="92" t="s">
        <v>165</v>
      </c>
      <c r="AZ10" s="32">
        <v>9.2899999999999991</v>
      </c>
      <c r="BA10" s="349">
        <v>5</v>
      </c>
      <c r="BB10" s="30">
        <v>4</v>
      </c>
      <c r="BC10" s="32">
        <v>20.04</v>
      </c>
      <c r="BD10" s="349">
        <v>5</v>
      </c>
      <c r="BE10" s="30">
        <v>4</v>
      </c>
      <c r="BF10" s="32">
        <v>9</v>
      </c>
      <c r="BG10" s="349">
        <v>8</v>
      </c>
      <c r="BH10" s="30">
        <f t="shared" si="17"/>
        <v>4</v>
      </c>
      <c r="BI10" s="32">
        <v>12.5</v>
      </c>
      <c r="BJ10" s="349">
        <v>12</v>
      </c>
      <c r="BK10" s="30">
        <f t="shared" si="18"/>
        <v>5</v>
      </c>
      <c r="BL10" s="32">
        <v>2</v>
      </c>
      <c r="BM10" s="349">
        <v>1</v>
      </c>
      <c r="BN10" s="30">
        <f t="shared" si="19"/>
        <v>3</v>
      </c>
      <c r="BO10" s="40">
        <f t="shared" si="20"/>
        <v>31</v>
      </c>
      <c r="BP10" s="30">
        <f t="shared" si="21"/>
        <v>4</v>
      </c>
      <c r="BQ10" s="40">
        <f t="shared" si="22"/>
        <v>128</v>
      </c>
      <c r="BR10" s="41"/>
      <c r="BS10" s="32">
        <v>9.1999999999999993</v>
      </c>
      <c r="BT10" s="349">
        <v>16</v>
      </c>
      <c r="BU10" s="30">
        <f t="shared" si="23"/>
        <v>5</v>
      </c>
      <c r="BV10" s="32">
        <v>9.1300000000000008</v>
      </c>
      <c r="BW10" s="349">
        <v>0</v>
      </c>
      <c r="BX10" s="30">
        <f t="shared" si="24"/>
        <v>2</v>
      </c>
      <c r="BY10" s="32">
        <v>29</v>
      </c>
      <c r="BZ10" s="349">
        <v>4</v>
      </c>
      <c r="CA10" s="30">
        <f t="shared" si="25"/>
        <v>3</v>
      </c>
      <c r="CB10" s="32">
        <v>22</v>
      </c>
      <c r="CC10" s="349">
        <v>20</v>
      </c>
      <c r="CD10" s="30">
        <f t="shared" si="26"/>
        <v>5</v>
      </c>
      <c r="CE10" s="40">
        <f t="shared" si="27"/>
        <v>40</v>
      </c>
      <c r="CF10" s="30">
        <f t="shared" si="28"/>
        <v>5</v>
      </c>
      <c r="CG10" s="40">
        <f t="shared" si="29"/>
        <v>168</v>
      </c>
      <c r="CH10" s="41"/>
      <c r="CI10" s="32" t="s">
        <v>165</v>
      </c>
    </row>
    <row r="11" spans="1:87">
      <c r="A11" s="3"/>
      <c r="B11" s="106" t="s">
        <v>166</v>
      </c>
      <c r="C11" s="48">
        <v>34879</v>
      </c>
      <c r="D11" s="47" t="s">
        <v>19</v>
      </c>
      <c r="E11" s="32">
        <v>154</v>
      </c>
      <c r="F11" s="32">
        <v>41</v>
      </c>
      <c r="G11" s="32">
        <v>69</v>
      </c>
      <c r="H11" s="136">
        <v>1.1459999999999999</v>
      </c>
      <c r="I11" s="137">
        <f t="shared" si="0"/>
        <v>17.287906898296509</v>
      </c>
      <c r="J11" s="43" t="s">
        <v>30</v>
      </c>
      <c r="K11" s="32">
        <f t="shared" si="1"/>
        <v>110.03616865214862</v>
      </c>
      <c r="L11" s="106" t="s">
        <v>166</v>
      </c>
      <c r="M11" s="32">
        <v>175</v>
      </c>
      <c r="N11" s="40">
        <v>5</v>
      </c>
      <c r="O11" s="30">
        <f t="shared" si="2"/>
        <v>4</v>
      </c>
      <c r="P11" s="32">
        <v>4.9000000000000004</v>
      </c>
      <c r="Q11" s="40">
        <v>14</v>
      </c>
      <c r="R11" s="30">
        <f t="shared" si="3"/>
        <v>5</v>
      </c>
      <c r="S11" s="32">
        <v>10.3</v>
      </c>
      <c r="T11" s="40">
        <v>12</v>
      </c>
      <c r="U11" s="30">
        <f t="shared" si="4"/>
        <v>5</v>
      </c>
      <c r="V11" s="32">
        <v>1460</v>
      </c>
      <c r="W11" s="40">
        <v>20</v>
      </c>
      <c r="X11" s="30">
        <f t="shared" si="5"/>
        <v>5</v>
      </c>
      <c r="Y11" s="40">
        <f t="shared" si="6"/>
        <v>51</v>
      </c>
      <c r="Z11" s="30">
        <f t="shared" si="7"/>
        <v>5</v>
      </c>
      <c r="AA11" s="41"/>
      <c r="AB11" s="106" t="s">
        <v>166</v>
      </c>
      <c r="AC11" s="32">
        <v>39</v>
      </c>
      <c r="AD11" s="40">
        <v>18</v>
      </c>
      <c r="AE11" s="30">
        <f t="shared" si="8"/>
        <v>3</v>
      </c>
      <c r="AF11" s="32">
        <v>-5</v>
      </c>
      <c r="AG11" s="40">
        <v>0</v>
      </c>
      <c r="AH11" s="30">
        <f t="shared" si="9"/>
        <v>2</v>
      </c>
      <c r="AI11" s="32">
        <v>108</v>
      </c>
      <c r="AJ11" s="40">
        <v>11</v>
      </c>
      <c r="AK11" s="30">
        <f t="shared" si="10"/>
        <v>5</v>
      </c>
      <c r="AL11" s="32">
        <v>1</v>
      </c>
      <c r="AM11" s="40">
        <v>0</v>
      </c>
      <c r="AN11" s="30">
        <f t="shared" si="11"/>
        <v>2</v>
      </c>
      <c r="AO11" s="32">
        <v>9</v>
      </c>
      <c r="AP11" s="40">
        <v>9</v>
      </c>
      <c r="AQ11" s="30">
        <f t="shared" si="12"/>
        <v>4</v>
      </c>
      <c r="AR11" s="32">
        <v>10</v>
      </c>
      <c r="AS11" s="40">
        <v>10</v>
      </c>
      <c r="AT11" s="30">
        <f t="shared" si="13"/>
        <v>5</v>
      </c>
      <c r="AU11" s="40">
        <f t="shared" si="14"/>
        <v>48</v>
      </c>
      <c r="AV11" s="30">
        <f t="shared" si="15"/>
        <v>5</v>
      </c>
      <c r="AW11" s="40">
        <f t="shared" si="16"/>
        <v>99</v>
      </c>
      <c r="AX11" s="41"/>
      <c r="AY11" s="106" t="s">
        <v>166</v>
      </c>
      <c r="AZ11" s="32"/>
      <c r="BA11" s="349"/>
      <c r="BB11" s="30" t="str">
        <f>IF(AZ11=0,"",IF(AZ11&gt;7,2,IF(AND(AZ11&lt;=7,AZ11&gt;6.3),3,IF(AND(AZ11&lt;=6.3,AZ11&gt;6),4,IF(AND(AZ11&lt;=6),5)))))</f>
        <v/>
      </c>
      <c r="BC11" s="32"/>
      <c r="BD11" s="349"/>
      <c r="BE11" s="30" t="str">
        <f>IF(BC11=0,"",IF(BC11&gt;14.3,2,IF(AND(BC11&lt;=14.3,BC11&gt;14),3,IF(AND(BC11&lt;=14,BC11&gt;13),4,IF(AND(BC11&lt;=13),5)))))</f>
        <v/>
      </c>
      <c r="BF11" s="32">
        <v>20</v>
      </c>
      <c r="BG11" s="349">
        <v>20</v>
      </c>
      <c r="BH11" s="30">
        <f t="shared" si="17"/>
        <v>5</v>
      </c>
      <c r="BI11" s="32">
        <v>13.200000000000001</v>
      </c>
      <c r="BJ11" s="349">
        <v>9</v>
      </c>
      <c r="BK11" s="30">
        <f t="shared" si="18"/>
        <v>4</v>
      </c>
      <c r="BL11" s="32">
        <v>4</v>
      </c>
      <c r="BM11" s="349">
        <v>5</v>
      </c>
      <c r="BN11" s="30">
        <f t="shared" si="19"/>
        <v>4</v>
      </c>
      <c r="BO11" s="40">
        <f t="shared" si="20"/>
        <v>34</v>
      </c>
      <c r="BP11" s="30">
        <f t="shared" si="21"/>
        <v>4</v>
      </c>
      <c r="BQ11" s="40">
        <f t="shared" si="22"/>
        <v>133</v>
      </c>
      <c r="BR11" s="41"/>
      <c r="BS11" s="32">
        <v>9.4</v>
      </c>
      <c r="BT11" s="349">
        <v>10</v>
      </c>
      <c r="BU11" s="30">
        <f t="shared" si="23"/>
        <v>5</v>
      </c>
      <c r="BV11" s="32">
        <v>9.0500000000000007</v>
      </c>
      <c r="BW11" s="349">
        <v>0</v>
      </c>
      <c r="BX11" s="30">
        <f t="shared" si="24"/>
        <v>2</v>
      </c>
      <c r="BY11" s="32">
        <v>36</v>
      </c>
      <c r="BZ11" s="349">
        <v>7</v>
      </c>
      <c r="CA11" s="30">
        <f t="shared" si="25"/>
        <v>4</v>
      </c>
      <c r="CB11" s="32"/>
      <c r="CC11" s="349">
        <v>0</v>
      </c>
      <c r="CD11" s="30" t="str">
        <f t="shared" si="26"/>
        <v/>
      </c>
      <c r="CE11" s="40">
        <f t="shared" si="27"/>
        <v>17</v>
      </c>
      <c r="CF11" s="30">
        <f t="shared" si="28"/>
        <v>4</v>
      </c>
      <c r="CG11" s="40">
        <f t="shared" si="29"/>
        <v>150</v>
      </c>
      <c r="CH11" s="41"/>
      <c r="CI11" s="106" t="s">
        <v>166</v>
      </c>
    </row>
    <row r="12" spans="1:87">
      <c r="A12" s="3"/>
      <c r="B12" s="106" t="s">
        <v>167</v>
      </c>
      <c r="C12" s="48">
        <v>34622</v>
      </c>
      <c r="D12" s="47" t="s">
        <v>77</v>
      </c>
      <c r="E12" s="32">
        <v>172</v>
      </c>
      <c r="F12" s="32">
        <v>56</v>
      </c>
      <c r="G12" s="32">
        <v>74</v>
      </c>
      <c r="H12" s="136">
        <v>1.1579999999999999</v>
      </c>
      <c r="I12" s="137">
        <f t="shared" si="0"/>
        <v>18.92915089237426</v>
      </c>
      <c r="J12" s="43" t="s">
        <v>26</v>
      </c>
      <c r="K12" s="32">
        <f t="shared" si="1"/>
        <v>116.41693506978481</v>
      </c>
      <c r="L12" s="106" t="s">
        <v>167</v>
      </c>
      <c r="M12" s="32">
        <v>169</v>
      </c>
      <c r="N12" s="40">
        <v>0</v>
      </c>
      <c r="O12" s="30"/>
      <c r="P12" s="32"/>
      <c r="Q12" s="40"/>
      <c r="R12" s="30" t="str">
        <f t="shared" si="3"/>
        <v/>
      </c>
      <c r="S12" s="32"/>
      <c r="T12" s="40"/>
      <c r="U12" s="30" t="str">
        <f t="shared" si="4"/>
        <v/>
      </c>
      <c r="V12" s="32"/>
      <c r="W12" s="40"/>
      <c r="X12" s="30" t="str">
        <f t="shared" si="5"/>
        <v/>
      </c>
      <c r="Y12" s="40">
        <f t="shared" si="6"/>
        <v>0</v>
      </c>
      <c r="Z12" s="30">
        <v>4</v>
      </c>
      <c r="AA12" s="41"/>
      <c r="AB12" s="106" t="s">
        <v>167</v>
      </c>
      <c r="AC12" s="32">
        <v>35</v>
      </c>
      <c r="AD12" s="40">
        <v>10</v>
      </c>
      <c r="AE12" s="30">
        <f t="shared" si="8"/>
        <v>3</v>
      </c>
      <c r="AF12" s="32">
        <v>12</v>
      </c>
      <c r="AG12" s="40">
        <v>18</v>
      </c>
      <c r="AH12" s="30">
        <f t="shared" si="9"/>
        <v>5</v>
      </c>
      <c r="AI12" s="32">
        <v>116</v>
      </c>
      <c r="AJ12" s="40">
        <v>13</v>
      </c>
      <c r="AK12" s="30">
        <f t="shared" si="10"/>
        <v>5</v>
      </c>
      <c r="AL12" s="32"/>
      <c r="AM12" s="40"/>
      <c r="AN12" s="30" t="str">
        <f t="shared" si="11"/>
        <v/>
      </c>
      <c r="AO12" s="32">
        <v>8</v>
      </c>
      <c r="AP12" s="40">
        <v>8</v>
      </c>
      <c r="AQ12" s="30">
        <f t="shared" si="12"/>
        <v>4</v>
      </c>
      <c r="AR12" s="32">
        <v>9</v>
      </c>
      <c r="AS12" s="40">
        <v>9</v>
      </c>
      <c r="AT12" s="30">
        <f t="shared" si="13"/>
        <v>4</v>
      </c>
      <c r="AU12" s="40">
        <f t="shared" si="14"/>
        <v>58</v>
      </c>
      <c r="AV12" s="30">
        <f t="shared" si="15"/>
        <v>5</v>
      </c>
      <c r="AW12" s="40">
        <f t="shared" si="16"/>
        <v>58</v>
      </c>
      <c r="AX12" s="41"/>
      <c r="AY12" s="106" t="s">
        <v>167</v>
      </c>
      <c r="AZ12" s="32"/>
      <c r="BA12" s="349"/>
      <c r="BB12" s="30" t="str">
        <f>IF(AZ12=0,"",IF(AZ12&gt;7,2,IF(AND(AZ12&lt;=7,AZ12&gt;6.3),3,IF(AND(AZ12&lt;=6.3,AZ12&gt;6),4,IF(AND(AZ12&lt;=6),5)))))</f>
        <v/>
      </c>
      <c r="BC12" s="32"/>
      <c r="BD12" s="349"/>
      <c r="BE12" s="30" t="str">
        <f>IF(BC12=0,"",IF(BC12&gt;14.3,2,IF(AND(BC12&lt;=14.3,BC12&gt;14),3,IF(AND(BC12&lt;=14,BC12&gt;13),4,IF(AND(BC12&lt;=13),5)))))</f>
        <v/>
      </c>
      <c r="BF12" s="32">
        <v>20</v>
      </c>
      <c r="BG12" s="349">
        <v>20</v>
      </c>
      <c r="BH12" s="30">
        <f t="shared" si="17"/>
        <v>5</v>
      </c>
      <c r="BI12" s="32">
        <v>13.9</v>
      </c>
      <c r="BJ12" s="349">
        <v>5</v>
      </c>
      <c r="BK12" s="30">
        <f t="shared" si="18"/>
        <v>4</v>
      </c>
      <c r="BL12" s="32">
        <v>5</v>
      </c>
      <c r="BM12" s="349">
        <v>10</v>
      </c>
      <c r="BN12" s="30">
        <f t="shared" si="19"/>
        <v>5</v>
      </c>
      <c r="BO12" s="40">
        <f t="shared" si="20"/>
        <v>35</v>
      </c>
      <c r="BP12" s="30">
        <v>5</v>
      </c>
      <c r="BQ12" s="40">
        <f t="shared" si="22"/>
        <v>93</v>
      </c>
      <c r="BR12" s="41"/>
      <c r="BS12" s="32"/>
      <c r="BT12" s="349"/>
      <c r="BU12" s="30" t="str">
        <f t="shared" si="23"/>
        <v/>
      </c>
      <c r="BV12" s="32"/>
      <c r="BW12" s="349"/>
      <c r="BX12" s="30" t="str">
        <f t="shared" si="24"/>
        <v/>
      </c>
      <c r="BY12" s="32">
        <v>31</v>
      </c>
      <c r="BZ12" s="349">
        <v>5</v>
      </c>
      <c r="CA12" s="30">
        <f t="shared" si="25"/>
        <v>4</v>
      </c>
      <c r="CB12" s="32">
        <v>16</v>
      </c>
      <c r="CC12" s="349">
        <v>12</v>
      </c>
      <c r="CD12" s="30">
        <f t="shared" si="26"/>
        <v>5</v>
      </c>
      <c r="CE12" s="40">
        <f t="shared" si="27"/>
        <v>17</v>
      </c>
      <c r="CF12" s="30">
        <f t="shared" si="28"/>
        <v>4</v>
      </c>
      <c r="CG12" s="40">
        <f t="shared" si="29"/>
        <v>110</v>
      </c>
      <c r="CH12" s="41"/>
      <c r="CI12" s="106" t="s">
        <v>167</v>
      </c>
    </row>
    <row r="13" spans="1:87">
      <c r="A13" s="8"/>
      <c r="B13" s="114"/>
      <c r="C13" s="138"/>
      <c r="D13" s="138"/>
      <c r="E13" s="138"/>
      <c r="F13" s="138"/>
      <c r="G13" s="138"/>
      <c r="H13" s="138"/>
      <c r="I13" s="138"/>
      <c r="J13" s="138"/>
      <c r="K13" s="139"/>
      <c r="L13" s="114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53"/>
      <c r="AA13" s="138"/>
      <c r="AB13" s="114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38"/>
      <c r="AY13" s="114"/>
      <c r="AZ13" s="138"/>
      <c r="BA13" s="350"/>
      <c r="BB13" s="138"/>
      <c r="BC13" s="138"/>
      <c r="BD13" s="350"/>
      <c r="BE13" s="138"/>
      <c r="BF13" s="138"/>
      <c r="BG13" s="350"/>
      <c r="BH13" s="138"/>
      <c r="BI13" s="138"/>
      <c r="BJ13" s="350"/>
      <c r="BK13" s="138"/>
      <c r="BL13" s="138"/>
      <c r="BM13" s="350"/>
      <c r="BN13" s="138"/>
      <c r="BO13" s="138"/>
      <c r="BP13" s="138"/>
      <c r="BQ13" s="138"/>
      <c r="BR13" s="138"/>
      <c r="BS13" s="138"/>
      <c r="BT13" s="350"/>
      <c r="BU13" s="138"/>
      <c r="BV13" s="138"/>
      <c r="BW13" s="350"/>
      <c r="BX13" s="138"/>
      <c r="BY13" s="138"/>
      <c r="BZ13" s="350"/>
      <c r="CA13" s="138"/>
      <c r="CB13" s="138"/>
      <c r="CC13" s="350"/>
      <c r="CD13" s="138"/>
      <c r="CE13" s="138"/>
      <c r="CF13" s="138"/>
      <c r="CG13" s="138"/>
      <c r="CH13" s="138"/>
      <c r="CI13" s="114"/>
    </row>
    <row r="14" spans="1:87">
      <c r="A14" s="3"/>
      <c r="B14" s="106" t="s">
        <v>168</v>
      </c>
      <c r="C14" s="48">
        <v>35071</v>
      </c>
      <c r="D14" s="47" t="s">
        <v>19</v>
      </c>
      <c r="E14" s="32">
        <v>167</v>
      </c>
      <c r="F14" s="3">
        <v>58</v>
      </c>
      <c r="G14" s="32">
        <v>71</v>
      </c>
      <c r="H14" s="32">
        <v>1.145</v>
      </c>
      <c r="I14" s="137">
        <f t="shared" ref="I14:I23" si="30">F14/(E14/100)^2</f>
        <v>20.796729893506402</v>
      </c>
      <c r="J14" s="43" t="s">
        <v>26</v>
      </c>
      <c r="K14" s="32">
        <f t="shared" ref="K14:K23" si="31">((E14-F14)*E14)/(H14*2*G14)</f>
        <v>111.95645488652438</v>
      </c>
      <c r="L14" s="106" t="s">
        <v>168</v>
      </c>
      <c r="M14" s="32">
        <v>148</v>
      </c>
      <c r="N14" s="40">
        <v>0</v>
      </c>
      <c r="O14" s="30">
        <f t="shared" ref="O14:O23" si="32">IF(M14=0,"",IF(M14&lt;150,2,IF(AND(M14&gt;=150,M14&lt;158),3,IF(AND(M14&gt;=158,M14&lt;165),4,IF(AND(M14&gt;=165),5)))))</f>
        <v>2</v>
      </c>
      <c r="P14" s="32">
        <v>5.2</v>
      </c>
      <c r="Q14" s="40">
        <v>16</v>
      </c>
      <c r="R14" s="30">
        <f t="shared" ref="R14:R23" si="33">IF(P14=0,"",IF(P14&gt;6.1,2,IF(AND(P14&lt;=6.1,P14&gt;5.8),3,IF(AND(P14&lt;=5.8,P14&gt;5.5),4,IF(AND(P14&lt;=5.5),5)))))</f>
        <v>5</v>
      </c>
      <c r="S14" s="32">
        <v>10.700000000000001</v>
      </c>
      <c r="T14" s="40">
        <v>12</v>
      </c>
      <c r="U14" s="30">
        <f t="shared" ref="U14:U23" si="34">IF(S14=0,"",IF(S14&gt;11.5,2,IF(AND(S14&lt;=11.5,S14&gt;11),3,IF(AND(S14&lt;=11,S14&gt;10.8),4,IF(AND(S14&lt;=10.8),5)))))</f>
        <v>5</v>
      </c>
      <c r="V14" s="32">
        <v>1570</v>
      </c>
      <c r="W14" s="40">
        <v>20</v>
      </c>
      <c r="X14" s="30">
        <f t="shared" ref="X14:X23" si="35">IF(V14=0,"",IF(V14&lt;1000,2,IF(AND(V14&gt;=1000,V14&lt;1110),3,IF(AND(V14&gt;=1110,V14&lt;1200),4,IF(AND(V14&gt;=1200),5)))))</f>
        <v>5</v>
      </c>
      <c r="Y14" s="40">
        <f t="shared" ref="Y14:Y23" si="36">SUM(N14,Q14,T14,W14)</f>
        <v>48</v>
      </c>
      <c r="Z14" s="30">
        <f t="shared" ref="Z14:Z23" si="37">IF(Y14=0,"",IF(Y14&lt;4,2,IF(AND(Y14&gt;=4,Y14&lt;16),3,IF(AND(Y14&gt;=16,Y14&lt;30),4,IF(AND(Y14&gt;=30),5)))))</f>
        <v>5</v>
      </c>
      <c r="AA14" s="141"/>
      <c r="AB14" s="106" t="s">
        <v>168</v>
      </c>
      <c r="AC14" s="32">
        <v>36</v>
      </c>
      <c r="AD14" s="40">
        <v>12</v>
      </c>
      <c r="AE14" s="30">
        <f t="shared" ref="AE14:AE23" si="38">IF(AC14=0,"",IF(AC14&lt;25,2,IF(AND(AC14&gt;=25,AC14&lt;30),3,IF(AND(AC14&gt;=30,AC14&lt;35),4,IF(AND(AC14&gt;=35),5)))))</f>
        <v>5</v>
      </c>
      <c r="AF14" s="32">
        <v>16</v>
      </c>
      <c r="AG14" s="40">
        <v>16</v>
      </c>
      <c r="AH14" s="30">
        <f t="shared" ref="AH14:AH23" si="39">IF(AF14=0,"",IF(AF14&lt;9,2,IF(AND(AF14&gt;=9,AF14&lt;10),3,IF(AND(AF14&gt;=10,AF14&lt;13),4,IF(AND(AF14&gt;=13),5)))))</f>
        <v>5</v>
      </c>
      <c r="AI14" s="32">
        <v>146</v>
      </c>
      <c r="AJ14" s="40">
        <v>20</v>
      </c>
      <c r="AK14" s="30">
        <f t="shared" ref="AK14:AK23" si="40">IF(AI14=0,"",IF(AI14&lt;45,2,IF(AND(AI14&gt;=45,AI14&lt;70),3,IF(AND(AI14&gt;=70,AI14&lt;110),4,IF(AND(AI14&gt;=110),5)))))</f>
        <v>5</v>
      </c>
      <c r="AL14" s="32">
        <v>4</v>
      </c>
      <c r="AM14" s="40">
        <v>0</v>
      </c>
      <c r="AN14" s="30">
        <f t="shared" ref="AN14:AN23" si="41">IF(AL14=0,"",IF(AL14&lt;9,2,IF(AND(AL14&gt;=9,AL14&lt;10),3,IF(AND(AL14&gt;=10,AL14&lt;13),4,IF(AND(AL14&gt;=13),5)))))</f>
        <v>2</v>
      </c>
      <c r="AO14" s="32">
        <v>12</v>
      </c>
      <c r="AP14" s="40">
        <v>12</v>
      </c>
      <c r="AQ14" s="30">
        <f t="shared" ref="AQ14:AQ23" si="42">IF(AO14=0,"",IF(AO14&lt;1,2,IF(AND(AO14&gt;=1,AO14&lt;5),3,IF(AND(AO14&gt;=5,AO14&lt;10),4,IF(AND(AO14&gt;=10),5)))))</f>
        <v>5</v>
      </c>
      <c r="AR14" s="32">
        <v>10</v>
      </c>
      <c r="AS14" s="40">
        <v>10</v>
      </c>
      <c r="AT14" s="30">
        <f t="shared" ref="AT14:AT23" si="43">IF(AR14=0,"",IF(AR14&lt;1,2,IF(AND(AR14&gt;=1,AR14&lt;5),3,IF(AND(AR14&gt;=5,AR14&lt;10),4,IF(AND(AR14&gt;=10),5)))))</f>
        <v>5</v>
      </c>
      <c r="AU14" s="40">
        <f t="shared" ref="AU14:AU23" si="44">SUM(AD14,AG14,AJ14,AM14,AP14,AS14)</f>
        <v>70</v>
      </c>
      <c r="AV14" s="30">
        <f>IF(AU14=0,"",IF(AU14&lt;6,2,IF(AND(AU14&gt;=6,AU14&lt;20),3,IF(AND(AU14&gt;=20,AU14&lt;46),4,IF(AND(AU14&gt;=46),5)))))</f>
        <v>5</v>
      </c>
      <c r="AW14" s="40">
        <f t="shared" ref="AW14:AW23" si="45">SUM(Y14,AU14)</f>
        <v>118</v>
      </c>
      <c r="AX14" s="41"/>
      <c r="AY14" s="106" t="s">
        <v>168</v>
      </c>
      <c r="AZ14" s="32">
        <v>8</v>
      </c>
      <c r="BA14" s="349">
        <v>5</v>
      </c>
      <c r="BB14" s="30">
        <v>4</v>
      </c>
      <c r="BC14" s="32">
        <v>15.55</v>
      </c>
      <c r="BD14" s="349">
        <v>5</v>
      </c>
      <c r="BE14" s="30">
        <v>4</v>
      </c>
      <c r="BF14" s="32">
        <v>20</v>
      </c>
      <c r="BG14" s="349">
        <v>20</v>
      </c>
      <c r="BH14" s="30">
        <f t="shared" ref="BH14:BH24" si="46">IF(BF14=0,"",IF(BF14&lt;6,2,IF(AND(BF14&gt;=6,BF14&lt;8),3,IF(AND(BF14&gt;=8,BF14&lt;10),4,IF(AND(BF14&gt;=10),5)))))</f>
        <v>5</v>
      </c>
      <c r="BI14" s="32">
        <v>12.700000000000001</v>
      </c>
      <c r="BJ14" s="349">
        <v>17</v>
      </c>
      <c r="BK14" s="30">
        <f t="shared" ref="BK14:BK24" si="47">IF(BI14=0,"",IF(BI14&gt;17.2,2,IF(AND(BI14&lt;=17.2,BI14&gt;15.8),3,IF(AND(BI14&lt;=15.8,BI14&gt;14.6),4,IF(AND(BI14&lt;=14.6),5)))))</f>
        <v>5</v>
      </c>
      <c r="BL14" s="32">
        <v>4</v>
      </c>
      <c r="BM14" s="349">
        <v>10</v>
      </c>
      <c r="BN14" s="30">
        <f t="shared" ref="BN14:BN24" si="48">IF(BL14=0,"",IF(BL14&lt;1,2,IF(AND(BL14&gt;=1,BL14&lt;3),3,IF(AND(BL14&gt;=3,BL14&lt;4),4,IF(AND(BL14&gt;=4),5)))))</f>
        <v>5</v>
      </c>
      <c r="BO14" s="40">
        <f t="shared" ref="BO14:BO23" si="49">SUM(BA14,BD14,BG14,BJ14,BM14)</f>
        <v>57</v>
      </c>
      <c r="BP14" s="30">
        <f t="shared" ref="BP14:BP23" si="50">IF(BO14=0,"",IF(BO14&lt;5,2,IF(AND(BO14&gt;=5,BO14&lt;17),3,IF(AND(BO14&gt;=17,BO14&lt;40),4,IF(AND(BO14&gt;=40),5)))))</f>
        <v>5</v>
      </c>
      <c r="BQ14" s="40">
        <f t="shared" ref="BQ14:BQ23" si="51">SUM(AW14,BO14)</f>
        <v>175</v>
      </c>
      <c r="BR14" s="41"/>
      <c r="BS14" s="32">
        <v>10.1</v>
      </c>
      <c r="BT14" s="349">
        <v>12</v>
      </c>
      <c r="BU14" s="30">
        <f t="shared" ref="BU14:BU23" si="52">IF(BS14=0,"",IF(BS14&gt;11,2,IF(AND(BS14&lt;=11,BS14&gt;10.4),3,IF(AND(BS14&lt;=10.4,BS14&gt;10.2),4,IF(AND(BS14&lt;=10.2),5)))))</f>
        <v>5</v>
      </c>
      <c r="BV14" s="32">
        <v>8.2799999999999994</v>
      </c>
      <c r="BW14" s="349">
        <v>1</v>
      </c>
      <c r="BX14" s="30">
        <f t="shared" ref="BX14:BX23" si="53">IF(BV14=0,"",IF(BV14&gt;8.3,2,IF(AND(BV14&lt;=8.3,BV14&gt;8),3,IF(AND(BV14&lt;=8,BV14&gt;7.3),4,IF(AND(BV14&lt;=7.3),5)))))</f>
        <v>3</v>
      </c>
      <c r="BY14" s="32">
        <v>29</v>
      </c>
      <c r="BZ14" s="349">
        <v>16</v>
      </c>
      <c r="CA14" s="30">
        <f t="shared" ref="CA14:CA23" si="54">IF(BY14=0,"",IF(BY14&lt;16,2,IF(AND(BY14&gt;=16,BY14&lt;19),3,IF(AND(BY14&gt;=19,BY14&lt;26),4,IF(AND(BY14&gt;=26),5)))))</f>
        <v>5</v>
      </c>
      <c r="CB14" s="32">
        <v>4</v>
      </c>
      <c r="CC14" s="349">
        <v>5</v>
      </c>
      <c r="CD14" s="30">
        <f t="shared" ref="CD14:CD23" si="55">IF(CB14=0,"",IF(CB14&lt;2,2,IF(AND(CB14&gt;=2,CB14&lt;4),3,IF(AND(CB14&gt;=4,CB14&lt;7),4,IF(AND(CB14&gt;=7),5)))))</f>
        <v>4</v>
      </c>
      <c r="CE14" s="40">
        <f t="shared" ref="CE14:CE23" si="56">SUM(BT14,BW14,BZ14,CC14)</f>
        <v>34</v>
      </c>
      <c r="CF14" s="30">
        <f>IF(CE14=0,"",IF(CE14&lt;4,2,IF(AND(CE14&gt;=4,CE14&lt;16),3,IF(AND(CE14&gt;=16,CE14&lt;30),4,IF(AND(CE14&gt;=30),5)))))</f>
        <v>5</v>
      </c>
      <c r="CG14" s="40">
        <f t="shared" ref="CG14:CG23" si="57">SUM(BQ14,CE14)</f>
        <v>209</v>
      </c>
      <c r="CH14" s="41"/>
      <c r="CI14" s="106" t="s">
        <v>168</v>
      </c>
    </row>
    <row r="15" spans="1:87">
      <c r="A15" s="3"/>
      <c r="B15" s="106" t="s">
        <v>169</v>
      </c>
      <c r="C15" s="48">
        <v>35118</v>
      </c>
      <c r="D15" s="47" t="s">
        <v>19</v>
      </c>
      <c r="E15" s="146">
        <v>152</v>
      </c>
      <c r="F15" s="3">
        <v>41</v>
      </c>
      <c r="G15" s="146">
        <v>66</v>
      </c>
      <c r="H15" s="32">
        <v>1.145</v>
      </c>
      <c r="I15" s="137">
        <f t="shared" si="30"/>
        <v>17.745844875346261</v>
      </c>
      <c r="J15" s="43" t="s">
        <v>30</v>
      </c>
      <c r="K15" s="32">
        <f t="shared" si="31"/>
        <v>111.63159984120682</v>
      </c>
      <c r="L15" s="106" t="s">
        <v>169</v>
      </c>
      <c r="M15" s="146">
        <v>152</v>
      </c>
      <c r="N15" s="147">
        <v>2</v>
      </c>
      <c r="O15" s="148">
        <f t="shared" si="32"/>
        <v>3</v>
      </c>
      <c r="P15" s="146">
        <v>5.0999999999999996</v>
      </c>
      <c r="Q15" s="146">
        <v>18</v>
      </c>
      <c r="R15" s="30">
        <f t="shared" si="33"/>
        <v>5</v>
      </c>
      <c r="S15" s="146">
        <v>10.700000000000001</v>
      </c>
      <c r="T15" s="146">
        <v>12</v>
      </c>
      <c r="U15" s="30">
        <f t="shared" si="34"/>
        <v>5</v>
      </c>
      <c r="V15" s="45">
        <v>1505</v>
      </c>
      <c r="W15" s="66">
        <v>20</v>
      </c>
      <c r="X15" s="30">
        <f t="shared" si="35"/>
        <v>5</v>
      </c>
      <c r="Y15" s="40">
        <f t="shared" si="36"/>
        <v>52</v>
      </c>
      <c r="Z15" s="30">
        <f t="shared" si="37"/>
        <v>5</v>
      </c>
      <c r="AA15" s="41"/>
      <c r="AB15" s="106" t="s">
        <v>169</v>
      </c>
      <c r="AC15" s="32">
        <v>34</v>
      </c>
      <c r="AD15" s="40">
        <v>9</v>
      </c>
      <c r="AE15" s="30">
        <f t="shared" si="38"/>
        <v>4</v>
      </c>
      <c r="AF15" s="32">
        <v>23</v>
      </c>
      <c r="AG15" s="40">
        <v>20</v>
      </c>
      <c r="AH15" s="30">
        <f t="shared" si="39"/>
        <v>5</v>
      </c>
      <c r="AI15" s="32">
        <v>138</v>
      </c>
      <c r="AJ15" s="40">
        <v>19</v>
      </c>
      <c r="AK15" s="30">
        <f t="shared" si="40"/>
        <v>5</v>
      </c>
      <c r="AL15" s="32">
        <v>3</v>
      </c>
      <c r="AM15" s="40">
        <v>0</v>
      </c>
      <c r="AN15" s="30">
        <f t="shared" si="41"/>
        <v>2</v>
      </c>
      <c r="AO15" s="32">
        <v>16</v>
      </c>
      <c r="AP15" s="40">
        <v>16</v>
      </c>
      <c r="AQ15" s="30">
        <f t="shared" si="42"/>
        <v>5</v>
      </c>
      <c r="AR15" s="32">
        <v>10</v>
      </c>
      <c r="AS15" s="40">
        <v>10</v>
      </c>
      <c r="AT15" s="30">
        <f t="shared" si="43"/>
        <v>5</v>
      </c>
      <c r="AU15" s="40">
        <f t="shared" si="44"/>
        <v>74</v>
      </c>
      <c r="AV15" s="30">
        <f>IF(AU15=0,"",IF(AU15&lt;6,2,IF(AND(AU15&gt;=6,AU15&lt;20),3,IF(AND(AU15&gt;=20,AU15&lt;46),4,IF(AND(AU15&gt;=46),5)))))</f>
        <v>5</v>
      </c>
      <c r="AW15" s="40">
        <f t="shared" si="45"/>
        <v>126</v>
      </c>
      <c r="AX15" s="41"/>
      <c r="AY15" s="106" t="s">
        <v>169</v>
      </c>
      <c r="AZ15" s="45"/>
      <c r="BA15" s="351"/>
      <c r="BB15" s="30" t="str">
        <f>IF(AZ15=0,"",IF(AZ15&gt;7.3,2,IF(AND(AZ15&lt;=7.3,AZ15&gt;6.45),3,IF(AND(AZ15&lt;=6.45,AZ15&gt;6.15),4,IF(AND(AZ15&lt;=6.15),5)))))</f>
        <v/>
      </c>
      <c r="BC15" s="45"/>
      <c r="BD15" s="351"/>
      <c r="BE15" s="30" t="str">
        <f>IF(BC15=0,"",IF(BC15&gt;15,2,IF(AND(BC15&lt;=15,BC15&gt;14.3),3,IF(AND(BC15&lt;=14.3,BC15&gt;14),4,IF(AND(BC15&lt;=14),5)))))</f>
        <v/>
      </c>
      <c r="BF15" s="45">
        <v>18</v>
      </c>
      <c r="BG15" s="351">
        <v>18</v>
      </c>
      <c r="BH15" s="30">
        <f t="shared" si="46"/>
        <v>5</v>
      </c>
      <c r="BI15" s="45">
        <v>13.5</v>
      </c>
      <c r="BJ15" s="351">
        <v>14</v>
      </c>
      <c r="BK15" s="30">
        <f t="shared" si="47"/>
        <v>5</v>
      </c>
      <c r="BL15" s="45">
        <v>7</v>
      </c>
      <c r="BM15" s="351">
        <v>16</v>
      </c>
      <c r="BN15" s="30">
        <f t="shared" si="48"/>
        <v>5</v>
      </c>
      <c r="BO15" s="40">
        <f t="shared" si="49"/>
        <v>48</v>
      </c>
      <c r="BP15" s="30">
        <f t="shared" si="50"/>
        <v>5</v>
      </c>
      <c r="BQ15" s="40">
        <f t="shared" si="51"/>
        <v>174</v>
      </c>
      <c r="BR15" s="41"/>
      <c r="BS15" s="45">
        <v>10.5</v>
      </c>
      <c r="BT15" s="351">
        <v>4</v>
      </c>
      <c r="BU15" s="30">
        <f t="shared" si="52"/>
        <v>3</v>
      </c>
      <c r="BV15" s="45"/>
      <c r="BW15" s="351"/>
      <c r="BX15" s="30" t="str">
        <f t="shared" si="53"/>
        <v/>
      </c>
      <c r="BY15" s="45">
        <v>23</v>
      </c>
      <c r="BZ15" s="351">
        <v>7</v>
      </c>
      <c r="CA15" s="30">
        <f t="shared" si="54"/>
        <v>4</v>
      </c>
      <c r="CB15" s="45">
        <v>5</v>
      </c>
      <c r="CC15" s="351">
        <v>7</v>
      </c>
      <c r="CD15" s="30">
        <f t="shared" si="55"/>
        <v>4</v>
      </c>
      <c r="CE15" s="40">
        <f t="shared" si="56"/>
        <v>18</v>
      </c>
      <c r="CF15" s="30">
        <f>IF(CE15=0,"",IF(CE15&lt;4,2,IF(AND(CE15&gt;=4,CE15&lt;16),3,IF(AND(CE15&gt;=16,CE15&lt;30),4,IF(AND(CE15&gt;=30),5)))))</f>
        <v>4</v>
      </c>
      <c r="CG15" s="40">
        <f t="shared" si="57"/>
        <v>192</v>
      </c>
      <c r="CH15" s="41"/>
      <c r="CI15" s="106" t="s">
        <v>169</v>
      </c>
    </row>
    <row r="16" spans="1:87">
      <c r="A16" s="3"/>
      <c r="B16" s="106" t="s">
        <v>170</v>
      </c>
      <c r="C16" s="48">
        <v>34731</v>
      </c>
      <c r="D16" s="47" t="s">
        <v>19</v>
      </c>
      <c r="E16" s="32">
        <v>167</v>
      </c>
      <c r="F16" s="3">
        <v>41</v>
      </c>
      <c r="G16" s="32">
        <v>67</v>
      </c>
      <c r="H16" s="32">
        <v>1.121</v>
      </c>
      <c r="I16" s="137">
        <f t="shared" si="30"/>
        <v>14.701136648857974</v>
      </c>
      <c r="J16" s="43" t="s">
        <v>82</v>
      </c>
      <c r="K16" s="32">
        <f t="shared" si="31"/>
        <v>140.08015231602914</v>
      </c>
      <c r="L16" s="106" t="s">
        <v>170</v>
      </c>
      <c r="M16" s="32">
        <v>155</v>
      </c>
      <c r="N16" s="40">
        <v>3</v>
      </c>
      <c r="O16" s="30">
        <f t="shared" si="32"/>
        <v>3</v>
      </c>
      <c r="P16" s="32">
        <v>4.9000000000000004</v>
      </c>
      <c r="Q16" s="40">
        <v>20</v>
      </c>
      <c r="R16" s="30">
        <f t="shared" si="33"/>
        <v>5</v>
      </c>
      <c r="S16" s="32">
        <v>11</v>
      </c>
      <c r="T16" s="40">
        <v>5</v>
      </c>
      <c r="U16" s="30">
        <f t="shared" si="34"/>
        <v>4</v>
      </c>
      <c r="V16" s="32">
        <v>1500</v>
      </c>
      <c r="W16" s="40">
        <v>20</v>
      </c>
      <c r="X16" s="30">
        <f t="shared" si="35"/>
        <v>5</v>
      </c>
      <c r="Y16" s="40">
        <f t="shared" si="36"/>
        <v>48</v>
      </c>
      <c r="Z16" s="30">
        <f t="shared" si="37"/>
        <v>5</v>
      </c>
      <c r="AA16" s="141"/>
      <c r="AB16" s="106" t="s">
        <v>170</v>
      </c>
      <c r="AC16" s="32">
        <v>37</v>
      </c>
      <c r="AD16" s="40">
        <v>14</v>
      </c>
      <c r="AE16" s="30">
        <f t="shared" si="38"/>
        <v>5</v>
      </c>
      <c r="AF16" s="32">
        <v>6</v>
      </c>
      <c r="AG16" s="40">
        <v>0</v>
      </c>
      <c r="AH16" s="30">
        <f t="shared" si="39"/>
        <v>2</v>
      </c>
      <c r="AI16" s="32">
        <v>143</v>
      </c>
      <c r="AJ16" s="40">
        <v>20</v>
      </c>
      <c r="AK16" s="30">
        <f t="shared" si="40"/>
        <v>5</v>
      </c>
      <c r="AL16" s="32">
        <v>9</v>
      </c>
      <c r="AM16" s="40">
        <v>1</v>
      </c>
      <c r="AN16" s="30">
        <f t="shared" si="41"/>
        <v>3</v>
      </c>
      <c r="AO16" s="32">
        <v>10</v>
      </c>
      <c r="AP16" s="40">
        <v>10</v>
      </c>
      <c r="AQ16" s="30">
        <f t="shared" si="42"/>
        <v>5</v>
      </c>
      <c r="AR16" s="32">
        <v>10</v>
      </c>
      <c r="AS16" s="40">
        <v>10</v>
      </c>
      <c r="AT16" s="30">
        <f t="shared" si="43"/>
        <v>5</v>
      </c>
      <c r="AU16" s="40">
        <f t="shared" si="44"/>
        <v>55</v>
      </c>
      <c r="AV16" s="30">
        <f>IF(AU16=0,"",IF(AU16&lt;6,2,IF(AND(AU16&gt;=6,AU16&lt;20),3,IF(AND(AU16&gt;=20,AU16&lt;46),4,IF(AND(AU16&gt;=46),5)))))</f>
        <v>5</v>
      </c>
      <c r="AW16" s="40">
        <f t="shared" si="45"/>
        <v>103</v>
      </c>
      <c r="AX16" s="141"/>
      <c r="AY16" s="106" t="s">
        <v>170</v>
      </c>
      <c r="AZ16" s="32">
        <v>11.59</v>
      </c>
      <c r="BA16" s="349">
        <v>0</v>
      </c>
      <c r="BB16" s="30">
        <f>IF(AZ16=0,"",IF(AZ16&gt;7.3,2,IF(AND(AZ16&lt;=7.3,AZ16&gt;6.45),3,IF(AND(AZ16&lt;=6.45,AZ16&gt;6.15),4,IF(AND(AZ16&lt;=6.15),5)))))</f>
        <v>2</v>
      </c>
      <c r="BC16" s="32">
        <v>24.05</v>
      </c>
      <c r="BD16" s="349">
        <v>0</v>
      </c>
      <c r="BE16" s="30">
        <f>IF(BC16=0,"",IF(BC16&gt;15,2,IF(AND(BC16&lt;=15,BC16&gt;14.3),3,IF(AND(BC16&lt;=14.3,BC16&gt;14),4,IF(AND(BC16&lt;=14),5)))))</f>
        <v>2</v>
      </c>
      <c r="BF16" s="32">
        <v>20</v>
      </c>
      <c r="BG16" s="349">
        <v>20</v>
      </c>
      <c r="BH16" s="30">
        <f t="shared" si="46"/>
        <v>5</v>
      </c>
      <c r="BI16" s="32">
        <v>14.9</v>
      </c>
      <c r="BJ16" s="349">
        <v>8</v>
      </c>
      <c r="BK16" s="30">
        <f t="shared" si="47"/>
        <v>4</v>
      </c>
      <c r="BL16" s="32">
        <v>6</v>
      </c>
      <c r="BM16" s="349">
        <v>14</v>
      </c>
      <c r="BN16" s="30">
        <f t="shared" si="48"/>
        <v>5</v>
      </c>
      <c r="BO16" s="40">
        <f t="shared" si="49"/>
        <v>42</v>
      </c>
      <c r="BP16" s="30">
        <f t="shared" si="50"/>
        <v>5</v>
      </c>
      <c r="BQ16" s="40">
        <f t="shared" si="51"/>
        <v>145</v>
      </c>
      <c r="BR16" s="41"/>
      <c r="BS16" s="32">
        <v>9.6999999999999993</v>
      </c>
      <c r="BT16" s="349">
        <v>16</v>
      </c>
      <c r="BU16" s="30">
        <f t="shared" si="52"/>
        <v>5</v>
      </c>
      <c r="BV16" s="32">
        <v>9.44</v>
      </c>
      <c r="BW16" s="349">
        <v>0</v>
      </c>
      <c r="BX16" s="30">
        <f t="shared" si="53"/>
        <v>2</v>
      </c>
      <c r="BY16" s="32">
        <v>26</v>
      </c>
      <c r="BZ16" s="349">
        <v>10</v>
      </c>
      <c r="CA16" s="30">
        <f t="shared" si="54"/>
        <v>5</v>
      </c>
      <c r="CB16" s="32">
        <v>7</v>
      </c>
      <c r="CC16" s="349">
        <v>10</v>
      </c>
      <c r="CD16" s="30">
        <f t="shared" si="55"/>
        <v>5</v>
      </c>
      <c r="CE16" s="40">
        <f t="shared" si="56"/>
        <v>36</v>
      </c>
      <c r="CF16" s="30">
        <f>IF(CE16=0,"",IF(CE16&lt;4,2,IF(AND(CE16&gt;=4,CE16&lt;16),3,IF(AND(CE16&gt;=16,CE16&lt;30),4,IF(AND(CE16&gt;=30),5)))))</f>
        <v>5</v>
      </c>
      <c r="CG16" s="40">
        <f t="shared" si="57"/>
        <v>181</v>
      </c>
      <c r="CH16" s="41"/>
      <c r="CI16" s="106" t="s">
        <v>170</v>
      </c>
    </row>
    <row r="17" spans="1:87">
      <c r="A17" s="3"/>
      <c r="B17" s="106" t="s">
        <v>171</v>
      </c>
      <c r="C17" s="48">
        <v>35153</v>
      </c>
      <c r="D17" s="47" t="s">
        <v>19</v>
      </c>
      <c r="E17" s="32">
        <v>163</v>
      </c>
      <c r="F17" s="3">
        <v>41</v>
      </c>
      <c r="G17" s="32">
        <v>65</v>
      </c>
      <c r="H17" s="32">
        <v>1.145</v>
      </c>
      <c r="I17" s="137">
        <f t="shared" si="30"/>
        <v>15.431517934434869</v>
      </c>
      <c r="J17" s="43" t="s">
        <v>82</v>
      </c>
      <c r="K17" s="32">
        <f t="shared" si="31"/>
        <v>133.59758145784346</v>
      </c>
      <c r="L17" s="106" t="s">
        <v>171</v>
      </c>
      <c r="M17" s="32">
        <v>178</v>
      </c>
      <c r="N17" s="40">
        <v>20</v>
      </c>
      <c r="O17" s="30">
        <f t="shared" si="32"/>
        <v>5</v>
      </c>
      <c r="P17" s="32">
        <v>4.7</v>
      </c>
      <c r="Q17" s="40">
        <v>20</v>
      </c>
      <c r="R17" s="30">
        <f t="shared" si="33"/>
        <v>5</v>
      </c>
      <c r="S17" s="32">
        <v>10.9</v>
      </c>
      <c r="T17" s="40">
        <v>8</v>
      </c>
      <c r="U17" s="30">
        <f t="shared" si="34"/>
        <v>4</v>
      </c>
      <c r="V17" s="32">
        <v>1375</v>
      </c>
      <c r="W17" s="40">
        <v>20</v>
      </c>
      <c r="X17" s="30">
        <f t="shared" si="35"/>
        <v>5</v>
      </c>
      <c r="Y17" s="40">
        <f t="shared" si="36"/>
        <v>68</v>
      </c>
      <c r="Z17" s="30">
        <f t="shared" si="37"/>
        <v>5</v>
      </c>
      <c r="AA17" s="41"/>
      <c r="AB17" s="106" t="s">
        <v>171</v>
      </c>
      <c r="AC17" s="32"/>
      <c r="AD17" s="40"/>
      <c r="AE17" s="30" t="str">
        <f t="shared" si="38"/>
        <v/>
      </c>
      <c r="AF17" s="32"/>
      <c r="AG17" s="40"/>
      <c r="AH17" s="30" t="str">
        <f t="shared" si="39"/>
        <v/>
      </c>
      <c r="AI17" s="32"/>
      <c r="AJ17" s="40"/>
      <c r="AK17" s="30" t="str">
        <f t="shared" si="40"/>
        <v/>
      </c>
      <c r="AL17" s="32"/>
      <c r="AM17" s="40"/>
      <c r="AN17" s="30" t="str">
        <f t="shared" si="41"/>
        <v/>
      </c>
      <c r="AO17" s="32"/>
      <c r="AP17" s="40"/>
      <c r="AQ17" s="30" t="str">
        <f t="shared" si="42"/>
        <v/>
      </c>
      <c r="AR17" s="32"/>
      <c r="AS17" s="40"/>
      <c r="AT17" s="30" t="str">
        <f t="shared" si="43"/>
        <v/>
      </c>
      <c r="AU17" s="40">
        <f t="shared" si="44"/>
        <v>0</v>
      </c>
      <c r="AV17" s="30" t="s">
        <v>96</v>
      </c>
      <c r="AW17" s="40">
        <f t="shared" si="45"/>
        <v>68</v>
      </c>
      <c r="AX17" s="41"/>
      <c r="AY17" s="106" t="s">
        <v>171</v>
      </c>
      <c r="AZ17" s="32">
        <v>8.58</v>
      </c>
      <c r="BA17" s="349">
        <v>5</v>
      </c>
      <c r="BB17" s="30">
        <v>4</v>
      </c>
      <c r="BC17" s="32">
        <v>17.55</v>
      </c>
      <c r="BD17" s="349">
        <v>5</v>
      </c>
      <c r="BE17" s="30">
        <v>4</v>
      </c>
      <c r="BF17" s="32">
        <v>13</v>
      </c>
      <c r="BG17" s="349">
        <v>13</v>
      </c>
      <c r="BH17" s="30">
        <f t="shared" si="46"/>
        <v>5</v>
      </c>
      <c r="BI17" s="32">
        <v>12.5</v>
      </c>
      <c r="BJ17" s="349">
        <v>19</v>
      </c>
      <c r="BK17" s="30">
        <f t="shared" si="47"/>
        <v>5</v>
      </c>
      <c r="BL17" s="32">
        <v>6</v>
      </c>
      <c r="BM17" s="349">
        <v>14</v>
      </c>
      <c r="BN17" s="30">
        <f t="shared" si="48"/>
        <v>5</v>
      </c>
      <c r="BO17" s="40">
        <f t="shared" si="49"/>
        <v>56</v>
      </c>
      <c r="BP17" s="30">
        <f t="shared" si="50"/>
        <v>5</v>
      </c>
      <c r="BQ17" s="40">
        <f t="shared" si="51"/>
        <v>124</v>
      </c>
      <c r="BR17" s="41"/>
      <c r="BS17" s="32">
        <v>9</v>
      </c>
      <c r="BT17" s="349">
        <v>20</v>
      </c>
      <c r="BU17" s="30">
        <f t="shared" si="52"/>
        <v>5</v>
      </c>
      <c r="BV17" s="32">
        <v>7.55</v>
      </c>
      <c r="BW17" s="349">
        <v>5</v>
      </c>
      <c r="BX17" s="30">
        <f t="shared" si="53"/>
        <v>4</v>
      </c>
      <c r="BY17" s="32">
        <v>26</v>
      </c>
      <c r="BZ17" s="349">
        <v>10</v>
      </c>
      <c r="CA17" s="30">
        <f t="shared" si="54"/>
        <v>5</v>
      </c>
      <c r="CB17" s="32">
        <v>10</v>
      </c>
      <c r="CC17" s="349">
        <v>20</v>
      </c>
      <c r="CD17" s="30">
        <f t="shared" si="55"/>
        <v>5</v>
      </c>
      <c r="CE17" s="40">
        <f t="shared" si="56"/>
        <v>55</v>
      </c>
      <c r="CF17" s="30">
        <f>IF(CE17=0,"",IF(CE17&lt;4,2,IF(AND(CE17&gt;=4,CE17&lt;16),3,IF(AND(CE17&gt;=16,CE17&lt;30),4,IF(AND(CE17&gt;=30),5)))))</f>
        <v>5</v>
      </c>
      <c r="CG17" s="40">
        <f t="shared" si="57"/>
        <v>179</v>
      </c>
      <c r="CH17" s="41"/>
      <c r="CI17" s="106" t="s">
        <v>171</v>
      </c>
    </row>
    <row r="18" spans="1:87">
      <c r="A18" s="3"/>
      <c r="B18" s="62" t="s">
        <v>172</v>
      </c>
      <c r="C18" s="99">
        <v>35070</v>
      </c>
      <c r="D18" s="47" t="s">
        <v>77</v>
      </c>
      <c r="E18" s="32">
        <v>165</v>
      </c>
      <c r="F18" s="3">
        <v>61</v>
      </c>
      <c r="G18" s="32">
        <v>77</v>
      </c>
      <c r="H18" s="32">
        <v>1.145</v>
      </c>
      <c r="I18" s="137">
        <f t="shared" si="30"/>
        <v>22.4058769513315</v>
      </c>
      <c r="J18" s="43" t="s">
        <v>21</v>
      </c>
      <c r="K18" s="32">
        <f t="shared" si="31"/>
        <v>97.317529631940104</v>
      </c>
      <c r="L18" s="62" t="s">
        <v>172</v>
      </c>
      <c r="M18" s="32">
        <v>156</v>
      </c>
      <c r="N18" s="40">
        <v>4</v>
      </c>
      <c r="O18" s="30">
        <f t="shared" si="32"/>
        <v>3</v>
      </c>
      <c r="P18" s="32">
        <v>5.3</v>
      </c>
      <c r="Q18" s="40">
        <v>14</v>
      </c>
      <c r="R18" s="30">
        <f t="shared" si="33"/>
        <v>5</v>
      </c>
      <c r="S18" s="32">
        <v>10.9</v>
      </c>
      <c r="T18" s="40">
        <v>8</v>
      </c>
      <c r="U18" s="30">
        <f t="shared" si="34"/>
        <v>4</v>
      </c>
      <c r="V18" s="32">
        <v>1550</v>
      </c>
      <c r="W18" s="40">
        <v>20</v>
      </c>
      <c r="X18" s="30">
        <f t="shared" si="35"/>
        <v>5</v>
      </c>
      <c r="Y18" s="40">
        <f t="shared" si="36"/>
        <v>46</v>
      </c>
      <c r="Z18" s="30">
        <f t="shared" si="37"/>
        <v>5</v>
      </c>
      <c r="AA18" s="41"/>
      <c r="AB18" s="62" t="s">
        <v>172</v>
      </c>
      <c r="AC18" s="32">
        <v>35</v>
      </c>
      <c r="AD18" s="40">
        <v>10</v>
      </c>
      <c r="AE18" s="30">
        <f t="shared" si="38"/>
        <v>5</v>
      </c>
      <c r="AF18" s="32">
        <v>15</v>
      </c>
      <c r="AG18" s="40">
        <v>14</v>
      </c>
      <c r="AH18" s="30">
        <f t="shared" si="39"/>
        <v>5</v>
      </c>
      <c r="AI18" s="32">
        <v>140</v>
      </c>
      <c r="AJ18" s="40">
        <v>20</v>
      </c>
      <c r="AK18" s="30">
        <f t="shared" si="40"/>
        <v>5</v>
      </c>
      <c r="AL18" s="32">
        <v>3</v>
      </c>
      <c r="AM18" s="40">
        <v>0</v>
      </c>
      <c r="AN18" s="30">
        <f t="shared" si="41"/>
        <v>2</v>
      </c>
      <c r="AO18" s="32">
        <v>11</v>
      </c>
      <c r="AP18" s="40">
        <v>11</v>
      </c>
      <c r="AQ18" s="30">
        <f t="shared" si="42"/>
        <v>5</v>
      </c>
      <c r="AR18" s="32">
        <v>10</v>
      </c>
      <c r="AS18" s="40">
        <v>10</v>
      </c>
      <c r="AT18" s="30">
        <f t="shared" si="43"/>
        <v>5</v>
      </c>
      <c r="AU18" s="40">
        <f t="shared" si="44"/>
        <v>65</v>
      </c>
      <c r="AV18" s="30">
        <f t="shared" ref="AV18:AV23" si="58">IF(AU18=0,"",IF(AU18&lt;6,2,IF(AND(AU18&gt;=6,AU18&lt;20),3,IF(AND(AU18&gt;=20,AU18&lt;46),4,IF(AND(AU18&gt;=46),5)))))</f>
        <v>5</v>
      </c>
      <c r="AW18" s="40">
        <f t="shared" si="45"/>
        <v>111</v>
      </c>
      <c r="AX18" s="41"/>
      <c r="AY18" s="62" t="s">
        <v>172</v>
      </c>
      <c r="AZ18" s="32"/>
      <c r="BA18" s="349"/>
      <c r="BB18" s="30" t="str">
        <f>IF(AZ18=0,"",IF(AZ18&gt;7.3,2,IF(AND(AZ18&lt;=7.3,AZ18&gt;6.45),3,IF(AND(AZ18&lt;=6.45,AZ18&gt;6.15),4,IF(AND(AZ18&lt;=6.15),5)))))</f>
        <v/>
      </c>
      <c r="BC18" s="32"/>
      <c r="BD18" s="349"/>
      <c r="BE18" s="30" t="str">
        <f>IF(BC18=0,"",IF(BC18&gt;15,2,IF(AND(BC18&lt;=15,BC18&gt;14.3),3,IF(AND(BC18&lt;=14.3,BC18&gt;14),4,IF(AND(BC18&lt;=14),5)))))</f>
        <v/>
      </c>
      <c r="BF18" s="32">
        <v>15</v>
      </c>
      <c r="BG18" s="349">
        <v>15</v>
      </c>
      <c r="BH18" s="30">
        <f t="shared" si="46"/>
        <v>5</v>
      </c>
      <c r="BI18" s="32">
        <v>13.3</v>
      </c>
      <c r="BJ18" s="349">
        <v>15</v>
      </c>
      <c r="BK18" s="30">
        <f t="shared" si="47"/>
        <v>5</v>
      </c>
      <c r="BL18" s="32">
        <v>4</v>
      </c>
      <c r="BM18" s="349">
        <v>10</v>
      </c>
      <c r="BN18" s="30">
        <f t="shared" si="48"/>
        <v>5</v>
      </c>
      <c r="BO18" s="40">
        <f t="shared" si="49"/>
        <v>40</v>
      </c>
      <c r="BP18" s="30">
        <f t="shared" si="50"/>
        <v>5</v>
      </c>
      <c r="BQ18" s="40">
        <f t="shared" si="51"/>
        <v>151</v>
      </c>
      <c r="BR18" s="41"/>
      <c r="BS18" s="32">
        <v>9.9</v>
      </c>
      <c r="BT18" s="349">
        <v>14</v>
      </c>
      <c r="BU18" s="30">
        <f t="shared" si="52"/>
        <v>5</v>
      </c>
      <c r="BV18" s="32"/>
      <c r="BW18" s="349"/>
      <c r="BX18" s="30" t="str">
        <f t="shared" si="53"/>
        <v/>
      </c>
      <c r="BY18" s="32"/>
      <c r="BZ18" s="349"/>
      <c r="CA18" s="30" t="str">
        <f t="shared" si="54"/>
        <v/>
      </c>
      <c r="CB18" s="32"/>
      <c r="CC18" s="349"/>
      <c r="CD18" s="30" t="str">
        <f t="shared" si="55"/>
        <v/>
      </c>
      <c r="CE18" s="40">
        <f t="shared" si="56"/>
        <v>14</v>
      </c>
      <c r="CF18" s="30">
        <v>5</v>
      </c>
      <c r="CG18" s="40">
        <f t="shared" si="57"/>
        <v>165</v>
      </c>
      <c r="CH18" s="41"/>
      <c r="CI18" s="62" t="s">
        <v>172</v>
      </c>
    </row>
    <row r="19" spans="1:87">
      <c r="A19" s="3"/>
      <c r="B19" s="149" t="s">
        <v>173</v>
      </c>
      <c r="C19" s="49">
        <v>35198</v>
      </c>
      <c r="D19" s="47" t="s">
        <v>19</v>
      </c>
      <c r="E19" s="32">
        <v>155</v>
      </c>
      <c r="F19" s="3">
        <v>42</v>
      </c>
      <c r="G19" s="32">
        <v>67</v>
      </c>
      <c r="H19" s="32">
        <v>1.145</v>
      </c>
      <c r="I19" s="137">
        <f t="shared" si="30"/>
        <v>17.481789802289281</v>
      </c>
      <c r="J19" s="43" t="s">
        <v>30</v>
      </c>
      <c r="K19" s="32">
        <f t="shared" si="31"/>
        <v>114.15629277194812</v>
      </c>
      <c r="L19" s="149" t="s">
        <v>173</v>
      </c>
      <c r="M19" s="32">
        <v>154</v>
      </c>
      <c r="N19" s="40">
        <v>3</v>
      </c>
      <c r="O19" s="30">
        <f t="shared" si="32"/>
        <v>3</v>
      </c>
      <c r="P19" s="32">
        <v>5.3</v>
      </c>
      <c r="Q19" s="40">
        <v>14</v>
      </c>
      <c r="R19" s="30">
        <f t="shared" si="33"/>
        <v>5</v>
      </c>
      <c r="S19" s="32">
        <v>11.9</v>
      </c>
      <c r="T19" s="40">
        <v>0</v>
      </c>
      <c r="U19" s="30">
        <f t="shared" si="34"/>
        <v>2</v>
      </c>
      <c r="V19" s="32">
        <v>1300</v>
      </c>
      <c r="W19" s="40">
        <v>20</v>
      </c>
      <c r="X19" s="30">
        <f t="shared" si="35"/>
        <v>5</v>
      </c>
      <c r="Y19" s="40">
        <f t="shared" si="36"/>
        <v>37</v>
      </c>
      <c r="Z19" s="30">
        <f t="shared" si="37"/>
        <v>5</v>
      </c>
      <c r="AA19" s="41"/>
      <c r="AB19" s="149" t="s">
        <v>173</v>
      </c>
      <c r="AC19" s="32">
        <v>42</v>
      </c>
      <c r="AD19" s="40">
        <v>20</v>
      </c>
      <c r="AE19" s="30">
        <f t="shared" si="38"/>
        <v>5</v>
      </c>
      <c r="AF19" s="32">
        <v>7</v>
      </c>
      <c r="AG19" s="40">
        <v>0</v>
      </c>
      <c r="AH19" s="30">
        <f t="shared" si="39"/>
        <v>2</v>
      </c>
      <c r="AI19" s="32">
        <v>96</v>
      </c>
      <c r="AJ19" s="40">
        <v>7</v>
      </c>
      <c r="AK19" s="30">
        <f t="shared" si="40"/>
        <v>4</v>
      </c>
      <c r="AL19" s="32"/>
      <c r="AM19" s="40"/>
      <c r="AN19" s="30" t="str">
        <f t="shared" si="41"/>
        <v/>
      </c>
      <c r="AO19" s="32">
        <v>11</v>
      </c>
      <c r="AP19" s="40">
        <v>11</v>
      </c>
      <c r="AQ19" s="30">
        <f t="shared" si="42"/>
        <v>5</v>
      </c>
      <c r="AR19" s="32">
        <v>10</v>
      </c>
      <c r="AS19" s="40">
        <v>10</v>
      </c>
      <c r="AT19" s="30">
        <f t="shared" si="43"/>
        <v>5</v>
      </c>
      <c r="AU19" s="40">
        <f t="shared" si="44"/>
        <v>48</v>
      </c>
      <c r="AV19" s="30">
        <f t="shared" si="58"/>
        <v>5</v>
      </c>
      <c r="AW19" s="40">
        <f t="shared" si="45"/>
        <v>85</v>
      </c>
      <c r="AX19" s="41"/>
      <c r="AY19" s="149" t="s">
        <v>173</v>
      </c>
      <c r="AZ19" s="32">
        <v>11.38</v>
      </c>
      <c r="BA19" s="349">
        <v>0</v>
      </c>
      <c r="BB19" s="30">
        <f>IF(AZ19=0,"",IF(AZ19&gt;7.3,2,IF(AND(AZ19&lt;=7.3,AZ19&gt;6.45),3,IF(AND(AZ19&lt;=6.45,AZ19&gt;6.15),4,IF(AND(AZ19&lt;=6.15),5)))))</f>
        <v>2</v>
      </c>
      <c r="BC19" s="32">
        <v>24.19</v>
      </c>
      <c r="BD19" s="349">
        <v>0</v>
      </c>
      <c r="BE19" s="30">
        <f>IF(BC19=0,"",IF(BC19&gt;15,2,IF(AND(BC19&lt;=15,BC19&gt;14.3),3,IF(AND(BC19&lt;=14.3,BC19&gt;14),4,IF(AND(BC19&lt;=14),5)))))</f>
        <v>2</v>
      </c>
      <c r="BF19" s="32">
        <v>13</v>
      </c>
      <c r="BG19" s="349">
        <v>13</v>
      </c>
      <c r="BH19" s="30">
        <f t="shared" si="46"/>
        <v>5</v>
      </c>
      <c r="BI19" s="32">
        <v>12.8</v>
      </c>
      <c r="BJ19" s="349">
        <v>17</v>
      </c>
      <c r="BK19" s="30">
        <f t="shared" si="47"/>
        <v>5</v>
      </c>
      <c r="BL19" s="32">
        <v>2</v>
      </c>
      <c r="BM19" s="349">
        <v>3</v>
      </c>
      <c r="BN19" s="30">
        <f t="shared" si="48"/>
        <v>3</v>
      </c>
      <c r="BO19" s="40">
        <f t="shared" si="49"/>
        <v>33</v>
      </c>
      <c r="BP19" s="30">
        <f t="shared" si="50"/>
        <v>4</v>
      </c>
      <c r="BQ19" s="40">
        <f t="shared" si="51"/>
        <v>118</v>
      </c>
      <c r="BR19" s="41"/>
      <c r="BS19" s="32">
        <v>9.9</v>
      </c>
      <c r="BT19" s="349">
        <v>14</v>
      </c>
      <c r="BU19" s="30">
        <f t="shared" si="52"/>
        <v>5</v>
      </c>
      <c r="BV19" s="32">
        <v>9.44</v>
      </c>
      <c r="BW19" s="349">
        <v>0</v>
      </c>
      <c r="BX19" s="30">
        <f t="shared" si="53"/>
        <v>2</v>
      </c>
      <c r="BY19" s="32">
        <v>19</v>
      </c>
      <c r="BZ19" s="349">
        <v>5</v>
      </c>
      <c r="CA19" s="30">
        <f t="shared" si="54"/>
        <v>4</v>
      </c>
      <c r="CB19" s="32">
        <v>8</v>
      </c>
      <c r="CC19" s="349">
        <v>14</v>
      </c>
      <c r="CD19" s="30">
        <f t="shared" si="55"/>
        <v>5</v>
      </c>
      <c r="CE19" s="40">
        <f t="shared" si="56"/>
        <v>33</v>
      </c>
      <c r="CF19" s="30">
        <f>IF(CE19=0,"",IF(CE19&lt;4,2,IF(AND(CE19&gt;=4,CE19&lt;16),3,IF(AND(CE19&gt;=16,CE19&lt;30),4,IF(AND(CE19&gt;=30),5)))))</f>
        <v>5</v>
      </c>
      <c r="CG19" s="40">
        <f t="shared" si="57"/>
        <v>151</v>
      </c>
      <c r="CH19" s="41"/>
      <c r="CI19" s="149" t="s">
        <v>173</v>
      </c>
    </row>
    <row r="20" spans="1:87">
      <c r="A20" s="3"/>
      <c r="B20" s="32" t="s">
        <v>174</v>
      </c>
      <c r="C20" s="48">
        <v>35139</v>
      </c>
      <c r="D20" s="47" t="s">
        <v>19</v>
      </c>
      <c r="E20" s="32">
        <v>165</v>
      </c>
      <c r="F20" s="3">
        <v>66</v>
      </c>
      <c r="G20" s="32">
        <v>85</v>
      </c>
      <c r="H20" s="32">
        <v>1.145</v>
      </c>
      <c r="I20" s="137">
        <f t="shared" si="30"/>
        <v>24.242424242424246</v>
      </c>
      <c r="J20" s="43" t="s">
        <v>21</v>
      </c>
      <c r="K20" s="32">
        <f t="shared" si="31"/>
        <v>83.919856152067808</v>
      </c>
      <c r="L20" s="32" t="s">
        <v>174</v>
      </c>
      <c r="M20" s="32">
        <v>144</v>
      </c>
      <c r="N20" s="40">
        <v>0</v>
      </c>
      <c r="O20" s="30">
        <f t="shared" si="32"/>
        <v>2</v>
      </c>
      <c r="P20" s="32">
        <v>5.0999999999999996</v>
      </c>
      <c r="Q20" s="40">
        <v>18</v>
      </c>
      <c r="R20" s="30">
        <f t="shared" si="33"/>
        <v>5</v>
      </c>
      <c r="S20" s="32">
        <v>11</v>
      </c>
      <c r="T20" s="40">
        <v>5</v>
      </c>
      <c r="U20" s="30">
        <f t="shared" si="34"/>
        <v>4</v>
      </c>
      <c r="V20" s="32">
        <v>1450</v>
      </c>
      <c r="W20" s="40">
        <v>20</v>
      </c>
      <c r="X20" s="30">
        <f t="shared" si="35"/>
        <v>5</v>
      </c>
      <c r="Y20" s="40">
        <f t="shared" si="36"/>
        <v>43</v>
      </c>
      <c r="Z20" s="30">
        <f t="shared" si="37"/>
        <v>5</v>
      </c>
      <c r="AA20" s="41"/>
      <c r="AB20" s="32" t="s">
        <v>174</v>
      </c>
      <c r="AC20" s="32">
        <v>35</v>
      </c>
      <c r="AD20" s="40">
        <v>10</v>
      </c>
      <c r="AE20" s="30">
        <f t="shared" si="38"/>
        <v>5</v>
      </c>
      <c r="AF20" s="32">
        <v>10</v>
      </c>
      <c r="AG20" s="40">
        <v>5</v>
      </c>
      <c r="AH20" s="30">
        <f t="shared" si="39"/>
        <v>4</v>
      </c>
      <c r="AI20" s="32">
        <v>113</v>
      </c>
      <c r="AJ20" s="40">
        <v>11</v>
      </c>
      <c r="AK20" s="30">
        <f t="shared" si="40"/>
        <v>5</v>
      </c>
      <c r="AL20" s="32">
        <v>1</v>
      </c>
      <c r="AM20" s="40">
        <v>0</v>
      </c>
      <c r="AN20" s="30">
        <f t="shared" si="41"/>
        <v>2</v>
      </c>
      <c r="AO20" s="32">
        <v>13</v>
      </c>
      <c r="AP20" s="40">
        <v>13</v>
      </c>
      <c r="AQ20" s="30">
        <f t="shared" si="42"/>
        <v>5</v>
      </c>
      <c r="AR20" s="32">
        <v>10</v>
      </c>
      <c r="AS20" s="40">
        <v>10</v>
      </c>
      <c r="AT20" s="30">
        <f t="shared" si="43"/>
        <v>5</v>
      </c>
      <c r="AU20" s="40">
        <f t="shared" si="44"/>
        <v>49</v>
      </c>
      <c r="AV20" s="30">
        <f t="shared" si="58"/>
        <v>5</v>
      </c>
      <c r="AW20" s="40">
        <f t="shared" si="45"/>
        <v>92</v>
      </c>
      <c r="AX20" s="41"/>
      <c r="AY20" s="32" t="s">
        <v>174</v>
      </c>
      <c r="AZ20" s="32">
        <v>8.43</v>
      </c>
      <c r="BA20" s="349">
        <v>0</v>
      </c>
      <c r="BB20" s="30">
        <f>IF(AZ20=0,"",IF(AZ20&gt;7.3,2,IF(AND(AZ20&lt;=7.3,AZ20&gt;6.45),3,IF(AND(AZ20&lt;=6.45,AZ20&gt;6.15),4,IF(AND(AZ20&lt;=6.15),5)))))</f>
        <v>2</v>
      </c>
      <c r="BC20" s="32">
        <v>21.04</v>
      </c>
      <c r="BD20" s="349">
        <v>5</v>
      </c>
      <c r="BE20" s="30">
        <v>4</v>
      </c>
      <c r="BF20" s="32">
        <v>6</v>
      </c>
      <c r="BG20" s="349">
        <v>1</v>
      </c>
      <c r="BH20" s="30">
        <f t="shared" si="46"/>
        <v>3</v>
      </c>
      <c r="BI20" s="32">
        <v>12.700000000000001</v>
      </c>
      <c r="BJ20" s="349">
        <v>17</v>
      </c>
      <c r="BK20" s="30">
        <f t="shared" si="47"/>
        <v>5</v>
      </c>
      <c r="BL20" s="32">
        <v>4</v>
      </c>
      <c r="BM20" s="349">
        <v>10</v>
      </c>
      <c r="BN20" s="30">
        <f t="shared" si="48"/>
        <v>5</v>
      </c>
      <c r="BO20" s="40">
        <f t="shared" si="49"/>
        <v>33</v>
      </c>
      <c r="BP20" s="30">
        <f t="shared" si="50"/>
        <v>4</v>
      </c>
      <c r="BQ20" s="40">
        <f t="shared" si="51"/>
        <v>125</v>
      </c>
      <c r="BR20" s="41"/>
      <c r="BS20" s="32">
        <v>10.1</v>
      </c>
      <c r="BT20" s="349">
        <v>12</v>
      </c>
      <c r="BU20" s="30">
        <f t="shared" si="52"/>
        <v>5</v>
      </c>
      <c r="BV20" s="32">
        <v>9.14</v>
      </c>
      <c r="BW20" s="349">
        <v>0</v>
      </c>
      <c r="BX20" s="30">
        <f t="shared" si="53"/>
        <v>2</v>
      </c>
      <c r="BY20" s="32">
        <v>21</v>
      </c>
      <c r="BZ20" s="349">
        <v>6</v>
      </c>
      <c r="CA20" s="30">
        <f t="shared" si="54"/>
        <v>4</v>
      </c>
      <c r="CB20" s="32">
        <v>4</v>
      </c>
      <c r="CC20" s="349">
        <v>5</v>
      </c>
      <c r="CD20" s="30">
        <f t="shared" si="55"/>
        <v>4</v>
      </c>
      <c r="CE20" s="40">
        <f t="shared" si="56"/>
        <v>23</v>
      </c>
      <c r="CF20" s="30">
        <f>IF(CE20=0,"",IF(CE20&lt;4,2,IF(AND(CE20&gt;=4,CE20&lt;16),3,IF(AND(CE20&gt;=16,CE20&lt;30),4,IF(AND(CE20&gt;=30),5)))))</f>
        <v>4</v>
      </c>
      <c r="CG20" s="40">
        <f t="shared" si="57"/>
        <v>148</v>
      </c>
      <c r="CH20" s="41"/>
      <c r="CI20" s="32" t="s">
        <v>174</v>
      </c>
    </row>
    <row r="21" spans="1:87">
      <c r="A21" s="3"/>
      <c r="B21" s="144" t="s">
        <v>175</v>
      </c>
      <c r="C21" s="100">
        <v>35271</v>
      </c>
      <c r="D21" s="47" t="s">
        <v>19</v>
      </c>
      <c r="E21" s="32">
        <v>157</v>
      </c>
      <c r="F21" s="3">
        <v>50</v>
      </c>
      <c r="G21" s="32">
        <v>71</v>
      </c>
      <c r="H21" s="32">
        <v>1.145</v>
      </c>
      <c r="I21" s="137">
        <f t="shared" si="30"/>
        <v>20.28479857195018</v>
      </c>
      <c r="J21" s="43" t="s">
        <v>26</v>
      </c>
      <c r="K21" s="32">
        <f t="shared" si="31"/>
        <v>103.321237468479</v>
      </c>
      <c r="L21" s="144" t="s">
        <v>175</v>
      </c>
      <c r="M21" s="32">
        <v>120</v>
      </c>
      <c r="N21" s="40">
        <v>0</v>
      </c>
      <c r="O21" s="30">
        <f t="shared" si="32"/>
        <v>2</v>
      </c>
      <c r="P21" s="32">
        <v>5.3</v>
      </c>
      <c r="Q21" s="40">
        <v>14</v>
      </c>
      <c r="R21" s="30">
        <f t="shared" si="33"/>
        <v>5</v>
      </c>
      <c r="S21" s="32">
        <v>11.700000000000001</v>
      </c>
      <c r="T21" s="40">
        <v>0</v>
      </c>
      <c r="U21" s="30">
        <f t="shared" si="34"/>
        <v>2</v>
      </c>
      <c r="V21" s="32">
        <v>1490</v>
      </c>
      <c r="W21" s="40">
        <v>20</v>
      </c>
      <c r="X21" s="30">
        <f t="shared" si="35"/>
        <v>5</v>
      </c>
      <c r="Y21" s="40">
        <f t="shared" si="36"/>
        <v>34</v>
      </c>
      <c r="Z21" s="30">
        <f t="shared" si="37"/>
        <v>5</v>
      </c>
      <c r="AA21" s="41"/>
      <c r="AB21" s="144" t="s">
        <v>175</v>
      </c>
      <c r="AC21" s="32">
        <v>35</v>
      </c>
      <c r="AD21" s="40">
        <v>10</v>
      </c>
      <c r="AE21" s="30">
        <f t="shared" si="38"/>
        <v>5</v>
      </c>
      <c r="AF21" s="32">
        <v>-1</v>
      </c>
      <c r="AG21" s="40">
        <v>0</v>
      </c>
      <c r="AH21" s="30">
        <f t="shared" si="39"/>
        <v>2</v>
      </c>
      <c r="AI21" s="32">
        <v>126</v>
      </c>
      <c r="AJ21" s="40">
        <v>14</v>
      </c>
      <c r="AK21" s="30">
        <f t="shared" si="40"/>
        <v>5</v>
      </c>
      <c r="AL21" s="32">
        <v>1</v>
      </c>
      <c r="AM21" s="40">
        <v>0</v>
      </c>
      <c r="AN21" s="30">
        <f t="shared" si="41"/>
        <v>2</v>
      </c>
      <c r="AO21" s="32">
        <v>12</v>
      </c>
      <c r="AP21" s="40">
        <v>12</v>
      </c>
      <c r="AQ21" s="30">
        <f t="shared" si="42"/>
        <v>5</v>
      </c>
      <c r="AR21" s="32">
        <v>10</v>
      </c>
      <c r="AS21" s="40">
        <v>10</v>
      </c>
      <c r="AT21" s="30">
        <f t="shared" si="43"/>
        <v>5</v>
      </c>
      <c r="AU21" s="40">
        <f t="shared" si="44"/>
        <v>46</v>
      </c>
      <c r="AV21" s="30">
        <f t="shared" si="58"/>
        <v>5</v>
      </c>
      <c r="AW21" s="40">
        <f t="shared" si="45"/>
        <v>80</v>
      </c>
      <c r="AX21" s="41"/>
      <c r="AY21" s="144" t="s">
        <v>175</v>
      </c>
      <c r="AZ21" s="32">
        <v>9.41</v>
      </c>
      <c r="BA21" s="349">
        <v>5</v>
      </c>
      <c r="BB21" s="30">
        <v>4</v>
      </c>
      <c r="BC21" s="32">
        <v>22.21</v>
      </c>
      <c r="BD21" s="349">
        <v>5</v>
      </c>
      <c r="BE21" s="30">
        <v>4</v>
      </c>
      <c r="BF21" s="32">
        <v>20</v>
      </c>
      <c r="BG21" s="349">
        <v>20</v>
      </c>
      <c r="BH21" s="30">
        <f t="shared" si="46"/>
        <v>5</v>
      </c>
      <c r="BI21" s="32">
        <v>13.4</v>
      </c>
      <c r="BJ21" s="349">
        <v>15</v>
      </c>
      <c r="BK21" s="30">
        <f t="shared" si="47"/>
        <v>5</v>
      </c>
      <c r="BL21" s="32">
        <v>3</v>
      </c>
      <c r="BM21" s="349">
        <v>5</v>
      </c>
      <c r="BN21" s="30">
        <f t="shared" si="48"/>
        <v>4</v>
      </c>
      <c r="BO21" s="40">
        <f t="shared" si="49"/>
        <v>50</v>
      </c>
      <c r="BP21" s="30">
        <f t="shared" si="50"/>
        <v>5</v>
      </c>
      <c r="BQ21" s="40">
        <f t="shared" si="51"/>
        <v>130</v>
      </c>
      <c r="BR21" s="41"/>
      <c r="BS21" s="32">
        <v>10.1</v>
      </c>
      <c r="BT21" s="349">
        <v>12</v>
      </c>
      <c r="BU21" s="30">
        <f t="shared" si="52"/>
        <v>5</v>
      </c>
      <c r="BV21" s="32">
        <v>9.0399999999999991</v>
      </c>
      <c r="BW21" s="349">
        <v>0</v>
      </c>
      <c r="BX21" s="30">
        <f t="shared" si="53"/>
        <v>2</v>
      </c>
      <c r="BY21" s="32">
        <v>20</v>
      </c>
      <c r="BZ21" s="349">
        <v>5</v>
      </c>
      <c r="CA21" s="30">
        <f t="shared" si="54"/>
        <v>4</v>
      </c>
      <c r="CB21" s="32">
        <v>1</v>
      </c>
      <c r="CC21" s="349">
        <v>0</v>
      </c>
      <c r="CD21" s="30">
        <f t="shared" si="55"/>
        <v>2</v>
      </c>
      <c r="CE21" s="40">
        <f t="shared" si="56"/>
        <v>17</v>
      </c>
      <c r="CF21" s="30">
        <f>IF(CE21=0,"",IF(CE21&lt;4,2,IF(AND(CE21&gt;=4,CE21&lt;16),3,IF(AND(CE21&gt;=16,CE21&lt;30),4,IF(AND(CE21&gt;=30),5)))))</f>
        <v>4</v>
      </c>
      <c r="CG21" s="40">
        <f t="shared" si="57"/>
        <v>147</v>
      </c>
      <c r="CH21" s="41"/>
      <c r="CI21" s="144" t="s">
        <v>175</v>
      </c>
    </row>
    <row r="22" spans="1:87">
      <c r="A22" s="3"/>
      <c r="B22" s="106" t="s">
        <v>176</v>
      </c>
      <c r="C22" s="48">
        <v>34991</v>
      </c>
      <c r="D22" s="47" t="s">
        <v>19</v>
      </c>
      <c r="E22" s="32">
        <v>161</v>
      </c>
      <c r="F22" s="3">
        <v>60</v>
      </c>
      <c r="G22" s="32">
        <v>79</v>
      </c>
      <c r="H22" s="32">
        <v>1.121</v>
      </c>
      <c r="I22" s="137">
        <f t="shared" si="30"/>
        <v>23.147255121330193</v>
      </c>
      <c r="J22" s="43" t="s">
        <v>21</v>
      </c>
      <c r="K22" s="32">
        <f t="shared" si="31"/>
        <v>91.80885059677729</v>
      </c>
      <c r="L22" s="106" t="s">
        <v>176</v>
      </c>
      <c r="M22" s="32">
        <v>122</v>
      </c>
      <c r="N22" s="40">
        <v>0</v>
      </c>
      <c r="O22" s="30">
        <f t="shared" si="32"/>
        <v>2</v>
      </c>
      <c r="P22" s="32">
        <v>5.9</v>
      </c>
      <c r="Q22" s="40">
        <v>4</v>
      </c>
      <c r="R22" s="30">
        <f t="shared" si="33"/>
        <v>3</v>
      </c>
      <c r="S22" s="32">
        <v>12</v>
      </c>
      <c r="T22" s="40">
        <v>0</v>
      </c>
      <c r="U22" s="30">
        <f t="shared" si="34"/>
        <v>2</v>
      </c>
      <c r="V22" s="32"/>
      <c r="W22" s="40"/>
      <c r="X22" s="30" t="str">
        <f t="shared" si="35"/>
        <v/>
      </c>
      <c r="Y22" s="40">
        <f t="shared" si="36"/>
        <v>4</v>
      </c>
      <c r="Z22" s="30">
        <f t="shared" si="37"/>
        <v>3</v>
      </c>
      <c r="AA22" s="41"/>
      <c r="AB22" s="106" t="s">
        <v>176</v>
      </c>
      <c r="AC22" s="32">
        <v>24</v>
      </c>
      <c r="AD22" s="40">
        <v>0</v>
      </c>
      <c r="AE22" s="30">
        <f t="shared" si="38"/>
        <v>2</v>
      </c>
      <c r="AF22" s="32">
        <v>15</v>
      </c>
      <c r="AG22" s="40">
        <v>14</v>
      </c>
      <c r="AH22" s="30">
        <f t="shared" si="39"/>
        <v>5</v>
      </c>
      <c r="AI22" s="32">
        <v>101</v>
      </c>
      <c r="AJ22" s="40">
        <v>8</v>
      </c>
      <c r="AK22" s="30">
        <f t="shared" si="40"/>
        <v>4</v>
      </c>
      <c r="AL22" s="32">
        <v>-1</v>
      </c>
      <c r="AM22" s="40">
        <v>0</v>
      </c>
      <c r="AN22" s="30">
        <f t="shared" si="41"/>
        <v>2</v>
      </c>
      <c r="AO22" s="32">
        <v>5</v>
      </c>
      <c r="AP22" s="40">
        <v>5</v>
      </c>
      <c r="AQ22" s="30">
        <f t="shared" si="42"/>
        <v>4</v>
      </c>
      <c r="AR22" s="32">
        <v>8</v>
      </c>
      <c r="AS22" s="40">
        <v>8</v>
      </c>
      <c r="AT22" s="30">
        <f t="shared" si="43"/>
        <v>4</v>
      </c>
      <c r="AU22" s="40">
        <f t="shared" si="44"/>
        <v>35</v>
      </c>
      <c r="AV22" s="30">
        <f t="shared" si="58"/>
        <v>4</v>
      </c>
      <c r="AW22" s="40">
        <f t="shared" si="45"/>
        <v>39</v>
      </c>
      <c r="AX22" s="41"/>
      <c r="AY22" s="106" t="s">
        <v>176</v>
      </c>
      <c r="AZ22" s="32"/>
      <c r="BA22" s="349"/>
      <c r="BB22" s="30"/>
      <c r="BC22" s="32"/>
      <c r="BD22" s="349"/>
      <c r="BE22" s="30" t="str">
        <f>IF(BC22=0,"",IF(BC22&gt;15,2,IF(AND(BC22&lt;=15,BC22&gt;14.3),3,IF(AND(BC22&lt;=14.3,BC22&gt;14),4,IF(AND(BC22&lt;=14),5)))))</f>
        <v/>
      </c>
      <c r="BF22" s="32">
        <v>9</v>
      </c>
      <c r="BG22" s="349">
        <v>8</v>
      </c>
      <c r="BH22" s="30">
        <f t="shared" si="46"/>
        <v>4</v>
      </c>
      <c r="BI22" s="32">
        <v>14.8</v>
      </c>
      <c r="BJ22" s="349">
        <v>9</v>
      </c>
      <c r="BK22" s="30">
        <f t="shared" si="47"/>
        <v>4</v>
      </c>
      <c r="BL22" s="32">
        <v>2</v>
      </c>
      <c r="BM22" s="349">
        <v>3</v>
      </c>
      <c r="BN22" s="30">
        <f t="shared" si="48"/>
        <v>3</v>
      </c>
      <c r="BO22" s="40">
        <f t="shared" si="49"/>
        <v>20</v>
      </c>
      <c r="BP22" s="30">
        <f t="shared" si="50"/>
        <v>4</v>
      </c>
      <c r="BQ22" s="40">
        <f t="shared" si="51"/>
        <v>59</v>
      </c>
      <c r="BR22" s="41"/>
      <c r="BS22" s="32">
        <v>12.200000000000001</v>
      </c>
      <c r="BT22" s="349">
        <v>0</v>
      </c>
      <c r="BU22" s="30">
        <f t="shared" si="52"/>
        <v>2</v>
      </c>
      <c r="BV22" s="32"/>
      <c r="BW22" s="349"/>
      <c r="BX22" s="30" t="str">
        <f t="shared" si="53"/>
        <v/>
      </c>
      <c r="BY22" s="32">
        <v>20</v>
      </c>
      <c r="BZ22" s="349">
        <v>5</v>
      </c>
      <c r="CA22" s="30">
        <f t="shared" si="54"/>
        <v>4</v>
      </c>
      <c r="CB22" s="32">
        <v>1</v>
      </c>
      <c r="CC22" s="349">
        <v>1</v>
      </c>
      <c r="CD22" s="30">
        <f t="shared" si="55"/>
        <v>2</v>
      </c>
      <c r="CE22" s="40">
        <f t="shared" si="56"/>
        <v>6</v>
      </c>
      <c r="CF22" s="30">
        <f>IF(CE22=0,"",IF(CE22&lt;4,2,IF(AND(CE22&gt;=4,CE22&lt;16),3,IF(AND(CE22&gt;=16,CE22&lt;30),4,IF(AND(CE22&gt;=30),5)))))</f>
        <v>3</v>
      </c>
      <c r="CG22" s="40">
        <f t="shared" si="57"/>
        <v>65</v>
      </c>
      <c r="CH22" s="41"/>
      <c r="CI22" s="106" t="s">
        <v>176</v>
      </c>
    </row>
    <row r="23" spans="1:87">
      <c r="A23" s="3"/>
      <c r="B23" s="106" t="s">
        <v>177</v>
      </c>
      <c r="C23" s="48">
        <v>35343</v>
      </c>
      <c r="D23" s="47" t="s">
        <v>19</v>
      </c>
      <c r="E23" s="32">
        <v>167</v>
      </c>
      <c r="F23" s="3">
        <v>61</v>
      </c>
      <c r="G23" s="32">
        <v>76</v>
      </c>
      <c r="H23" s="32">
        <v>1.145</v>
      </c>
      <c r="I23" s="137">
        <f t="shared" si="30"/>
        <v>21.872422819032593</v>
      </c>
      <c r="J23" s="43" t="s">
        <v>24</v>
      </c>
      <c r="K23" s="32">
        <f t="shared" si="31"/>
        <v>101.71225005745806</v>
      </c>
      <c r="L23" s="106" t="s">
        <v>177</v>
      </c>
      <c r="M23" s="32">
        <v>131</v>
      </c>
      <c r="N23" s="40">
        <v>0</v>
      </c>
      <c r="O23" s="30">
        <f t="shared" si="32"/>
        <v>2</v>
      </c>
      <c r="P23" s="32">
        <v>5.8</v>
      </c>
      <c r="Q23" s="40">
        <v>5</v>
      </c>
      <c r="R23" s="30">
        <f t="shared" si="33"/>
        <v>4</v>
      </c>
      <c r="S23" s="32">
        <v>12.200000000000001</v>
      </c>
      <c r="T23" s="40">
        <v>0</v>
      </c>
      <c r="U23" s="30">
        <f t="shared" si="34"/>
        <v>2</v>
      </c>
      <c r="V23" s="32">
        <v>1150</v>
      </c>
      <c r="W23" s="40">
        <v>7</v>
      </c>
      <c r="X23" s="30">
        <f t="shared" si="35"/>
        <v>4</v>
      </c>
      <c r="Y23" s="40">
        <f t="shared" si="36"/>
        <v>12</v>
      </c>
      <c r="Z23" s="30">
        <f t="shared" si="37"/>
        <v>3</v>
      </c>
      <c r="AA23" s="41"/>
      <c r="AB23" s="106" t="s">
        <v>177</v>
      </c>
      <c r="AC23" s="32">
        <v>30</v>
      </c>
      <c r="AD23" s="40">
        <v>5</v>
      </c>
      <c r="AE23" s="30">
        <f t="shared" si="38"/>
        <v>4</v>
      </c>
      <c r="AF23" s="32">
        <v>3</v>
      </c>
      <c r="AG23" s="40">
        <v>0</v>
      </c>
      <c r="AH23" s="30">
        <f t="shared" si="39"/>
        <v>2</v>
      </c>
      <c r="AI23" s="32">
        <v>90</v>
      </c>
      <c r="AJ23" s="40">
        <v>7</v>
      </c>
      <c r="AK23" s="30">
        <f t="shared" si="40"/>
        <v>4</v>
      </c>
      <c r="AL23" s="32">
        <v>1</v>
      </c>
      <c r="AM23" s="40">
        <v>0</v>
      </c>
      <c r="AN23" s="30">
        <f t="shared" si="41"/>
        <v>2</v>
      </c>
      <c r="AO23" s="32">
        <v>4</v>
      </c>
      <c r="AP23" s="40">
        <v>4</v>
      </c>
      <c r="AQ23" s="30">
        <f t="shared" si="42"/>
        <v>3</v>
      </c>
      <c r="AR23" s="32">
        <v>10</v>
      </c>
      <c r="AS23" s="40">
        <v>10</v>
      </c>
      <c r="AT23" s="30">
        <f t="shared" si="43"/>
        <v>5</v>
      </c>
      <c r="AU23" s="40">
        <f t="shared" si="44"/>
        <v>26</v>
      </c>
      <c r="AV23" s="30">
        <f t="shared" si="58"/>
        <v>4</v>
      </c>
      <c r="AW23" s="40">
        <f t="shared" si="45"/>
        <v>38</v>
      </c>
      <c r="AX23" s="41"/>
      <c r="AY23" s="106" t="s">
        <v>177</v>
      </c>
      <c r="AZ23" s="32">
        <v>12.01</v>
      </c>
      <c r="BA23" s="349">
        <v>1</v>
      </c>
      <c r="BB23" s="30">
        <v>3</v>
      </c>
      <c r="BC23" s="32">
        <v>23.57</v>
      </c>
      <c r="BD23" s="349">
        <v>5</v>
      </c>
      <c r="BE23" s="30">
        <v>4</v>
      </c>
      <c r="BF23" s="32">
        <v>8</v>
      </c>
      <c r="BG23" s="349">
        <v>5</v>
      </c>
      <c r="BH23" s="30">
        <f t="shared" si="46"/>
        <v>4</v>
      </c>
      <c r="BI23" s="32">
        <v>15.1</v>
      </c>
      <c r="BJ23" s="349">
        <v>7</v>
      </c>
      <c r="BK23" s="30">
        <f t="shared" si="47"/>
        <v>4</v>
      </c>
      <c r="BL23" s="32">
        <v>1</v>
      </c>
      <c r="BM23" s="349">
        <v>1</v>
      </c>
      <c r="BN23" s="30">
        <f t="shared" si="48"/>
        <v>3</v>
      </c>
      <c r="BO23" s="40">
        <f t="shared" si="49"/>
        <v>19</v>
      </c>
      <c r="BP23" s="30">
        <f t="shared" si="50"/>
        <v>4</v>
      </c>
      <c r="BQ23" s="40">
        <f t="shared" si="51"/>
        <v>57</v>
      </c>
      <c r="BR23" s="41"/>
      <c r="BS23" s="32">
        <v>10.5</v>
      </c>
      <c r="BT23" s="349">
        <v>4</v>
      </c>
      <c r="BU23" s="30">
        <f t="shared" si="52"/>
        <v>3</v>
      </c>
      <c r="BV23" s="32">
        <v>11.27</v>
      </c>
      <c r="BW23" s="349">
        <v>0</v>
      </c>
      <c r="BX23" s="30">
        <f t="shared" si="53"/>
        <v>2</v>
      </c>
      <c r="BY23" s="32">
        <v>18</v>
      </c>
      <c r="BZ23" s="349">
        <v>4</v>
      </c>
      <c r="CA23" s="30">
        <f t="shared" si="54"/>
        <v>3</v>
      </c>
      <c r="CB23" s="32"/>
      <c r="CC23" s="349"/>
      <c r="CD23" s="30" t="str">
        <f t="shared" si="55"/>
        <v/>
      </c>
      <c r="CE23" s="40">
        <f t="shared" si="56"/>
        <v>8</v>
      </c>
      <c r="CF23" s="30">
        <f>IF(CE23=0,"",IF(CE23&lt;4,2,IF(AND(CE23&gt;=4,CE23&lt;16),3,IF(AND(CE23&gt;=16,CE23&lt;30),4,IF(AND(CE23&gt;=30),5)))))</f>
        <v>3</v>
      </c>
      <c r="CG23" s="40">
        <f t="shared" si="57"/>
        <v>65</v>
      </c>
      <c r="CH23" s="41"/>
      <c r="CI23" s="106" t="s">
        <v>177</v>
      </c>
    </row>
    <row r="24" spans="1:87">
      <c r="A24" s="315"/>
      <c r="B24" s="333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138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30" t="str">
        <f t="shared" si="46"/>
        <v/>
      </c>
      <c r="BI24" s="138"/>
      <c r="BJ24" s="138"/>
      <c r="BK24" s="30" t="str">
        <f t="shared" si="47"/>
        <v/>
      </c>
      <c r="BL24" s="138"/>
      <c r="BM24" s="138"/>
      <c r="BN24" s="30" t="str">
        <f t="shared" si="48"/>
        <v/>
      </c>
      <c r="BO24" s="138"/>
      <c r="BP24" s="138"/>
      <c r="BQ24" s="138"/>
      <c r="BR24" s="138"/>
      <c r="BS24" s="138"/>
      <c r="BT24" s="138"/>
      <c r="BU24" s="138"/>
      <c r="BV24" s="138"/>
      <c r="BW24" s="138"/>
      <c r="BX24" s="138"/>
      <c r="BY24" s="138"/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</row>
    <row r="25" spans="1:87">
      <c r="A25" s="315"/>
      <c r="B25" s="316"/>
      <c r="C25" s="227" t="s">
        <v>19</v>
      </c>
      <c r="D25" s="248">
        <f>COUNTIF(D3:D23,"осн.")</f>
        <v>18</v>
      </c>
      <c r="E25" s="249"/>
      <c r="F25" s="217"/>
      <c r="G25" s="217"/>
      <c r="H25" s="217"/>
      <c r="I25" s="217"/>
      <c r="J25" s="217"/>
      <c r="K25" s="228"/>
      <c r="L25" s="106" t="s">
        <v>18</v>
      </c>
      <c r="M25" s="32"/>
      <c r="N25" s="32"/>
      <c r="O25" s="30">
        <f>AVERAGE(O3:O23)</f>
        <v>3.3157894736842106</v>
      </c>
      <c r="P25" s="32"/>
      <c r="Q25" s="32"/>
      <c r="R25" s="30">
        <f>AVERAGE(R3:R23)</f>
        <v>4.8421052631578947</v>
      </c>
      <c r="S25" s="82"/>
      <c r="T25" s="82"/>
      <c r="U25" s="30">
        <f>AVERAGE(U3:U23)</f>
        <v>4.1578947368421053</v>
      </c>
      <c r="V25" s="32"/>
      <c r="W25" s="32"/>
      <c r="X25" s="30">
        <f>AVERAGE(X3:X23)</f>
        <v>4.9411764705882355</v>
      </c>
      <c r="Y25" s="32"/>
      <c r="Z25" s="30">
        <f>AVERAGE(O25:X25)</f>
        <v>4.314241486068112</v>
      </c>
      <c r="AA25" s="30"/>
      <c r="AB25" s="32" t="s">
        <v>18</v>
      </c>
      <c r="AC25" s="32"/>
      <c r="AD25" s="32"/>
      <c r="AE25" s="30">
        <f>AVERAGE(AE3:AE23)</f>
        <v>3.8421052631578947</v>
      </c>
      <c r="AF25" s="32"/>
      <c r="AG25" s="32"/>
      <c r="AH25" s="30">
        <f>AVERAGE(AH3:AH23)</f>
        <v>3.4736842105263159</v>
      </c>
      <c r="AI25" s="32"/>
      <c r="AJ25" s="32"/>
      <c r="AK25" s="30">
        <f>AVERAGE(AK3:AK23)</f>
        <v>4.7368421052631575</v>
      </c>
      <c r="AL25" s="32"/>
      <c r="AM25" s="32"/>
      <c r="AN25" s="30">
        <f>AVERAGE(AN3:AN23)</f>
        <v>2.6470588235294117</v>
      </c>
      <c r="AO25" s="32"/>
      <c r="AP25" s="32"/>
      <c r="AQ25" s="30">
        <f>AVERAGE(AQ3:AQ23)</f>
        <v>4.5789473684210522</v>
      </c>
      <c r="AR25" s="32"/>
      <c r="AS25" s="32"/>
      <c r="AT25" s="30">
        <f>AVERAGE(AT3:AT23)</f>
        <v>4.6842105263157894</v>
      </c>
      <c r="AU25" s="32"/>
      <c r="AV25" s="30">
        <f>AVERAGE(AE25:AT25)</f>
        <v>3.9938080495356032</v>
      </c>
      <c r="AW25" s="32"/>
      <c r="AX25" s="32"/>
      <c r="AY25" s="32" t="s">
        <v>18</v>
      </c>
      <c r="AZ25" s="32"/>
      <c r="BA25" s="32"/>
      <c r="BB25" s="30">
        <f>AVERAGE(BB23:BB24)</f>
        <v>3</v>
      </c>
      <c r="BC25" s="32"/>
      <c r="BD25" s="32"/>
      <c r="BE25" s="30">
        <f>AVERAGE(BE23:BE24)</f>
        <v>4</v>
      </c>
      <c r="BF25" s="32"/>
      <c r="BG25" s="32"/>
      <c r="BH25" s="30">
        <f>AVERAGE(BH3:BH23)</f>
        <v>4.4000000000000004</v>
      </c>
      <c r="BI25" s="32"/>
      <c r="BJ25" s="32"/>
      <c r="BK25" s="30">
        <f>AVERAGE(BK3:BK23)</f>
        <v>4.75</v>
      </c>
      <c r="BL25" s="32"/>
      <c r="BM25" s="32"/>
      <c r="BN25" s="30">
        <f>AVERAGE(BN3:BN23)</f>
        <v>4.4000000000000004</v>
      </c>
      <c r="BO25" s="32"/>
      <c r="BP25" s="30">
        <f>AVERAGE(BB25:BN25)</f>
        <v>4.1099999999999994</v>
      </c>
      <c r="BQ25" s="32"/>
      <c r="BR25" s="32"/>
      <c r="BS25" s="32"/>
      <c r="BT25" s="32"/>
      <c r="BU25" s="30">
        <f>AVERAGE(BU3:BU23)</f>
        <v>4.5789473684210522</v>
      </c>
      <c r="BV25" s="32"/>
      <c r="BW25" s="32"/>
      <c r="BX25" s="30">
        <f>AVERAGE(BX3:BX23)</f>
        <v>3.125</v>
      </c>
      <c r="BY25" s="32"/>
      <c r="BZ25" s="32"/>
      <c r="CA25" s="30">
        <f>AVERAGE(CA3:CA23)</f>
        <v>4.2105263157894735</v>
      </c>
      <c r="CB25" s="32"/>
      <c r="CC25" s="32"/>
      <c r="CD25" s="30">
        <f>AVERAGE(CD3:CD23)</f>
        <v>4.25</v>
      </c>
      <c r="CE25" s="32"/>
      <c r="CF25" s="30">
        <f>AVERAGE(BU25:CD25)</f>
        <v>4.0411184210526319</v>
      </c>
      <c r="CG25" s="30">
        <f>AVERAGE(Z25,AV25,BP25,CF25)</f>
        <v>4.1147919891640861</v>
      </c>
      <c r="CH25" s="30"/>
      <c r="CI25" s="32" t="s">
        <v>18</v>
      </c>
    </row>
    <row r="26" spans="1:87">
      <c r="A26" s="315"/>
      <c r="B26" s="315"/>
      <c r="Y26" s="27" t="s">
        <v>17</v>
      </c>
      <c r="Z26" s="27"/>
    </row>
    <row r="27" spans="1:87">
      <c r="A27" s="315"/>
      <c r="B27" s="319" t="s">
        <v>16</v>
      </c>
      <c r="C27" s="26"/>
      <c r="D27" s="26"/>
      <c r="Y27" s="25" t="s">
        <v>15</v>
      </c>
      <c r="Z27" s="24">
        <v>20</v>
      </c>
      <c r="AU27" s="24" t="s">
        <v>15</v>
      </c>
      <c r="AV27" s="24">
        <v>20</v>
      </c>
      <c r="BO27" s="24" t="s">
        <v>15</v>
      </c>
      <c r="BP27" s="24">
        <v>20</v>
      </c>
      <c r="CE27" s="24" t="s">
        <v>15</v>
      </c>
      <c r="CF27" s="24">
        <v>20</v>
      </c>
    </row>
    <row r="28" spans="1:87">
      <c r="A28" s="315"/>
      <c r="B28" s="321"/>
      <c r="C28" s="23"/>
      <c r="Y28" s="22" t="s">
        <v>133</v>
      </c>
      <c r="Z28" s="13">
        <f>COUNTIF(Z3:Z23,5)</f>
        <v>17</v>
      </c>
      <c r="AU28" s="128" t="s">
        <v>134</v>
      </c>
      <c r="AV28" s="13">
        <f>COUNTIF(AV3:AV23,5)</f>
        <v>15</v>
      </c>
      <c r="AY28" s="92"/>
      <c r="BO28" s="128" t="s">
        <v>134</v>
      </c>
      <c r="BP28" s="13">
        <f>COUNTIF(BP3:BP23,5)</f>
        <v>12</v>
      </c>
      <c r="CE28" s="128" t="s">
        <v>134</v>
      </c>
      <c r="CF28" s="13">
        <f>COUNTIF(CF3:CF23,5)</f>
        <v>13</v>
      </c>
    </row>
    <row r="29" spans="1:87">
      <c r="A29" s="315"/>
      <c r="B29" s="326" t="s">
        <v>13</v>
      </c>
      <c r="C29" s="20">
        <v>20</v>
      </c>
      <c r="D29" s="19" t="s">
        <v>4</v>
      </c>
      <c r="Y29" s="18" t="s">
        <v>12</v>
      </c>
      <c r="Z29" s="13">
        <f>COUNTIF(Z3:Z23,4)</f>
        <v>1</v>
      </c>
      <c r="AU29" s="129" t="s">
        <v>12</v>
      </c>
      <c r="AV29" s="13">
        <f>COUNTIF(AV3:AV23,4)</f>
        <v>4</v>
      </c>
      <c r="AY29" s="92"/>
      <c r="BO29" s="129" t="s">
        <v>12</v>
      </c>
      <c r="BP29" s="13">
        <f>COUNTIF(BP3:BP23,4)</f>
        <v>8</v>
      </c>
      <c r="CE29" s="129" t="s">
        <v>12</v>
      </c>
      <c r="CF29" s="13">
        <f>COUNTIF(CF3:CF23,4)</f>
        <v>5</v>
      </c>
    </row>
    <row r="30" spans="1:87">
      <c r="A30" s="315"/>
      <c r="B30" s="327" t="s">
        <v>11</v>
      </c>
      <c r="C30" s="2">
        <f>COUNTIF(J3:J23,"деф.массы")</f>
        <v>4</v>
      </c>
      <c r="D30" s="2">
        <f>C30*100/C29</f>
        <v>20</v>
      </c>
      <c r="Y30" s="16" t="s">
        <v>10</v>
      </c>
      <c r="Z30" s="13">
        <f>COUNTIF(Z3:Z23,3)</f>
        <v>2</v>
      </c>
      <c r="AU30" s="130" t="s">
        <v>135</v>
      </c>
      <c r="AV30" s="13">
        <f>COUNTIF(AV3:AV23,3)</f>
        <v>0</v>
      </c>
      <c r="AY30" s="92"/>
      <c r="BO30" s="130" t="s">
        <v>135</v>
      </c>
      <c r="BP30" s="13">
        <f>COUNTIF(BP3:BP23,3)</f>
        <v>0</v>
      </c>
      <c r="CE30" s="130" t="s">
        <v>135</v>
      </c>
      <c r="CF30" s="13">
        <f>COUNTIF(CF3:CF23,3)</f>
        <v>2</v>
      </c>
    </row>
    <row r="31" spans="1:87">
      <c r="A31" s="315"/>
      <c r="B31" s="328" t="s">
        <v>9</v>
      </c>
      <c r="C31" s="2">
        <f>COUNTIF(J3:J23,"гарм.(-)")</f>
        <v>5</v>
      </c>
      <c r="D31" s="359">
        <f>(C31+C32+C33)*100/C29</f>
        <v>65</v>
      </c>
      <c r="Y31" s="14" t="s">
        <v>8</v>
      </c>
      <c r="Z31" s="13">
        <f>COUNTIF(Z3:Z23,2)</f>
        <v>0</v>
      </c>
      <c r="AU31" s="131" t="s">
        <v>136</v>
      </c>
      <c r="AV31" s="13">
        <f>COUNTIF(AV3:AV23,2)</f>
        <v>0</v>
      </c>
      <c r="AY31" s="92"/>
      <c r="BO31" s="131" t="s">
        <v>136</v>
      </c>
      <c r="BP31" s="13">
        <f>COUNTIF(BP3:BP23,2)</f>
        <v>0</v>
      </c>
      <c r="CE31" s="131" t="s">
        <v>136</v>
      </c>
      <c r="CF31" s="13">
        <f>COUNTIF(CF3:CF23,2)</f>
        <v>0</v>
      </c>
    </row>
    <row r="32" spans="1:87">
      <c r="A32" s="315"/>
      <c r="B32" s="329" t="s">
        <v>7</v>
      </c>
      <c r="C32" s="2">
        <f>COUNTIF(J3:J23,"гармонич.")</f>
        <v>7</v>
      </c>
      <c r="D32" s="360"/>
      <c r="Y32" s="11" t="s">
        <v>6</v>
      </c>
      <c r="Z32" s="10">
        <f>COUNTIF(Z3:Z23,"осв.")</f>
        <v>0</v>
      </c>
      <c r="AU32" s="10" t="s">
        <v>96</v>
      </c>
      <c r="AV32" s="10">
        <f>COUNTIF(AV3:AV23,"осв.")</f>
        <v>1</v>
      </c>
      <c r="AY32" s="92"/>
      <c r="BO32" s="10" t="s">
        <v>96</v>
      </c>
      <c r="BP32" s="10">
        <f>COUNTIF(BP3:BP23,"осв.")</f>
        <v>0</v>
      </c>
      <c r="CE32" s="10" t="s">
        <v>96</v>
      </c>
      <c r="CF32" s="10">
        <f>COUNTIF(CF3:CF23,"осв.")</f>
        <v>0</v>
      </c>
    </row>
    <row r="33" spans="1:86">
      <c r="A33" s="315"/>
      <c r="B33" s="330" t="s">
        <v>5</v>
      </c>
      <c r="C33" s="2">
        <f>COUNTIF(J3:J23,"гарм.(+)")</f>
        <v>1</v>
      </c>
      <c r="D33" s="361"/>
      <c r="Y33" s="8"/>
      <c r="Z33" s="7" t="s">
        <v>4</v>
      </c>
      <c r="AU33" s="142"/>
      <c r="AV33" s="7" t="s">
        <v>4</v>
      </c>
      <c r="AY33" s="92"/>
      <c r="BO33" s="142"/>
      <c r="BP33" s="7" t="s">
        <v>4</v>
      </c>
      <c r="CE33" s="142"/>
      <c r="CF33" s="7" t="s">
        <v>4</v>
      </c>
    </row>
    <row r="34" spans="1:86">
      <c r="A34" s="315"/>
      <c r="B34" s="331" t="s">
        <v>3</v>
      </c>
      <c r="C34" s="2">
        <f>COUNTIF(J3:J23,"тучное")</f>
        <v>3</v>
      </c>
      <c r="D34" s="2">
        <f>C34*100/C29</f>
        <v>15</v>
      </c>
      <c r="Y34" s="3" t="s">
        <v>2</v>
      </c>
      <c r="Z34" s="2">
        <f>AA34*100/Z27</f>
        <v>20</v>
      </c>
      <c r="AA34" s="5">
        <v>4</v>
      </c>
      <c r="AB34" s="4"/>
      <c r="AU34" s="10" t="s">
        <v>2</v>
      </c>
      <c r="AV34" s="2">
        <f>AX34*100/AV27</f>
        <v>0</v>
      </c>
      <c r="AX34" s="5">
        <f>COUNTIF(AX3:AX23,5)</f>
        <v>0</v>
      </c>
      <c r="AY34" s="92"/>
      <c r="BO34" s="10" t="s">
        <v>2</v>
      </c>
      <c r="BP34" s="2">
        <f>BS34*100/BP27</f>
        <v>5</v>
      </c>
      <c r="BR34" s="5">
        <f>COUNTIF(BR3:BR23,5)</f>
        <v>1</v>
      </c>
      <c r="BS34" s="5">
        <v>1</v>
      </c>
      <c r="CE34" s="10" t="s">
        <v>2</v>
      </c>
      <c r="CF34" s="133">
        <f>CH34*100/CF27</f>
        <v>5</v>
      </c>
      <c r="CG34" s="229"/>
      <c r="CH34" s="132">
        <f>COUNTIF(CH3:CH23,5)</f>
        <v>1</v>
      </c>
    </row>
    <row r="35" spans="1:86">
      <c r="A35" s="315"/>
      <c r="B35" s="323"/>
      <c r="C35" s="315"/>
      <c r="D35" s="315"/>
      <c r="Y35" s="3" t="s">
        <v>1</v>
      </c>
      <c r="Z35" s="2">
        <f>(Z28+Z29-Z30-Z31+Z32)*100/Z27</f>
        <v>80</v>
      </c>
      <c r="AU35" s="10" t="s">
        <v>1</v>
      </c>
      <c r="AV35" s="2">
        <f>(AV28+AV29-AV30-AV31+AV32)*100/AV27</f>
        <v>100</v>
      </c>
      <c r="AY35" s="92"/>
      <c r="BO35" s="10" t="s">
        <v>1</v>
      </c>
      <c r="BP35" s="2">
        <f>(BP28+BP29-BP30-BP31+BP32)*100/BP27</f>
        <v>100</v>
      </c>
      <c r="CE35" s="10" t="s">
        <v>1</v>
      </c>
      <c r="CF35" s="2">
        <f>(CF28+CF29+CF32)/CF27*100</f>
        <v>90</v>
      </c>
    </row>
    <row r="36" spans="1:86">
      <c r="A36" s="315"/>
      <c r="B36" s="323"/>
      <c r="C36" s="315"/>
      <c r="D36" s="315"/>
      <c r="Y36" s="3" t="s">
        <v>0</v>
      </c>
      <c r="Z36" s="2">
        <f>(Z28+Z29+Z30-Z31+Z32)*100/Z27</f>
        <v>100</v>
      </c>
      <c r="AU36" s="10" t="s">
        <v>0</v>
      </c>
      <c r="AV36" s="2">
        <f>(AV28+AV29+AV30-AV31+AV32)*100/AV27</f>
        <v>100</v>
      </c>
      <c r="AY36" s="92"/>
      <c r="BO36" s="10" t="s">
        <v>0</v>
      </c>
      <c r="BP36" s="2">
        <f>(BP28+BP29+BP30-BP31+BP32)*100/BP27</f>
        <v>100</v>
      </c>
      <c r="CE36" s="10" t="s">
        <v>0</v>
      </c>
      <c r="CF36" s="2">
        <f>(CF28+CF29+CF30-CF31+CF32)/CF27*100</f>
        <v>100</v>
      </c>
    </row>
    <row r="37" spans="1:86">
      <c r="AY37" s="92"/>
    </row>
    <row r="38" spans="1:86">
      <c r="AY38" s="92"/>
    </row>
    <row r="39" spans="1:86">
      <c r="AY39" s="92"/>
    </row>
    <row r="40" spans="1:86">
      <c r="AY40" s="143"/>
    </row>
    <row r="42" spans="1:86">
      <c r="AY42" s="143"/>
    </row>
    <row r="43" spans="1:86">
      <c r="AY43" s="92"/>
    </row>
    <row r="44" spans="1:86">
      <c r="AY44" s="92"/>
    </row>
    <row r="45" spans="1:86">
      <c r="AY45" s="92"/>
    </row>
    <row r="46" spans="1:86">
      <c r="AY46" s="92"/>
    </row>
    <row r="47" spans="1:86">
      <c r="AY47" s="92"/>
    </row>
    <row r="48" spans="1:86">
      <c r="AY48" s="92"/>
    </row>
    <row r="49" spans="51:51">
      <c r="AY49" s="92"/>
    </row>
    <row r="50" spans="51:51">
      <c r="AY50" s="92"/>
    </row>
    <row r="51" spans="51:51">
      <c r="AY51" s="92"/>
    </row>
    <row r="52" spans="51:51">
      <c r="AY52" s="92"/>
    </row>
    <row r="53" spans="51:51">
      <c r="AY53" s="92"/>
    </row>
    <row r="54" spans="51:51">
      <c r="AY54" s="92"/>
    </row>
    <row r="55" spans="51:51">
      <c r="AY55" s="92"/>
    </row>
    <row r="56" spans="51:51">
      <c r="AY56" s="92"/>
    </row>
    <row r="57" spans="51:51">
      <c r="AY57" s="92"/>
    </row>
    <row r="58" spans="51:51">
      <c r="AY58" s="92"/>
    </row>
  </sheetData>
  <mergeCells count="5">
    <mergeCell ref="D31:D33"/>
    <mergeCell ref="B1:K1"/>
    <mergeCell ref="L1:AA1"/>
    <mergeCell ref="BS1:CI1"/>
    <mergeCell ref="AB1:AX1"/>
  </mergeCells>
  <printOptions gridLines="1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CI48"/>
  <sheetViews>
    <sheetView workbookViewId="0">
      <selection activeCell="M16" sqref="M16"/>
    </sheetView>
  </sheetViews>
  <sheetFormatPr defaultColWidth="8.42578125" defaultRowHeight="12.75"/>
  <cols>
    <col min="1" max="1" width="10.5703125" style="1" customWidth="1"/>
    <col min="2" max="2" width="18.5703125" style="1" customWidth="1"/>
    <col min="3" max="3" width="10" style="1" customWidth="1"/>
    <col min="4" max="4" width="10.42578125" style="1" customWidth="1"/>
    <col min="5" max="9" width="8.7109375" style="1" customWidth="1"/>
    <col min="10" max="10" width="9.85546875" style="1" customWidth="1"/>
    <col min="11" max="11" width="8.7109375" style="1" customWidth="1"/>
    <col min="12" max="12" width="18" style="1" customWidth="1"/>
    <col min="13" max="13" width="6" style="1" customWidth="1"/>
    <col min="14" max="15" width="5.42578125" style="1" customWidth="1"/>
    <col min="16" max="16" width="5.5703125" style="1" customWidth="1"/>
    <col min="17" max="17" width="5.140625" style="1" customWidth="1"/>
    <col min="18" max="18" width="5.42578125" style="1" customWidth="1"/>
    <col min="19" max="20" width="5.140625" style="1" customWidth="1"/>
    <col min="21" max="21" width="5.42578125" style="1" customWidth="1"/>
    <col min="22" max="22" width="5.140625" style="1" customWidth="1"/>
    <col min="23" max="23" width="5" style="1" customWidth="1"/>
    <col min="24" max="24" width="5.42578125" style="1" customWidth="1"/>
    <col min="25" max="25" width="9.42578125" style="1" customWidth="1"/>
    <col min="26" max="26" width="6.85546875" style="1" customWidth="1"/>
    <col min="27" max="27" width="6.140625" style="1" customWidth="1"/>
    <col min="28" max="28" width="18.42578125" style="1" customWidth="1"/>
    <col min="29" max="46" width="5.7109375" style="1" customWidth="1"/>
    <col min="47" max="47" width="8.42578125" style="1" bestFit="1" customWidth="1"/>
    <col min="48" max="48" width="7" style="1" customWidth="1"/>
    <col min="49" max="50" width="5.7109375" style="1" customWidth="1"/>
    <col min="51" max="51" width="19.28515625" style="1" customWidth="1"/>
    <col min="52" max="62" width="5.7109375" style="1" customWidth="1"/>
    <col min="63" max="63" width="5.42578125" style="1" customWidth="1"/>
    <col min="64" max="66" width="5.7109375" style="1" customWidth="1"/>
    <col min="67" max="67" width="8.5703125" style="1" customWidth="1"/>
    <col min="68" max="68" width="6.85546875" style="1" customWidth="1"/>
    <col min="69" max="82" width="5.7109375" style="1" customWidth="1"/>
    <col min="83" max="83" width="9.140625" style="1" customWidth="1"/>
    <col min="84" max="84" width="7" style="1" customWidth="1"/>
    <col min="85" max="86" width="6.5703125" style="1" customWidth="1"/>
    <col min="87" max="87" width="18.42578125" style="1" customWidth="1"/>
    <col min="88" max="258" width="8.42578125" style="1"/>
    <col min="259" max="259" width="10.5703125" style="1" customWidth="1"/>
    <col min="260" max="260" width="18.5703125" style="1" customWidth="1"/>
    <col min="261" max="261" width="10" style="1" customWidth="1"/>
    <col min="262" max="262" width="10.42578125" style="1" customWidth="1"/>
    <col min="263" max="267" width="8.7109375" style="1" customWidth="1"/>
    <col min="268" max="268" width="9.85546875" style="1" customWidth="1"/>
    <col min="269" max="269" width="8.7109375" style="1" customWidth="1"/>
    <col min="270" max="270" width="18" style="1" customWidth="1"/>
    <col min="271" max="271" width="6" style="1" customWidth="1"/>
    <col min="272" max="273" width="5.42578125" style="1" customWidth="1"/>
    <col min="274" max="274" width="5.5703125" style="1" customWidth="1"/>
    <col min="275" max="275" width="5.140625" style="1" customWidth="1"/>
    <col min="276" max="276" width="5.42578125" style="1" customWidth="1"/>
    <col min="277" max="278" width="5.140625" style="1" customWidth="1"/>
    <col min="279" max="279" width="5.42578125" style="1" customWidth="1"/>
    <col min="280" max="280" width="5.140625" style="1" customWidth="1"/>
    <col min="281" max="281" width="5" style="1" customWidth="1"/>
    <col min="282" max="282" width="5.42578125" style="1" customWidth="1"/>
    <col min="283" max="283" width="9.42578125" style="1" customWidth="1"/>
    <col min="284" max="284" width="6.85546875" style="1" customWidth="1"/>
    <col min="285" max="285" width="6.140625" style="1" customWidth="1"/>
    <col min="286" max="286" width="18.42578125" style="1" customWidth="1"/>
    <col min="287" max="304" width="5.7109375" style="1" customWidth="1"/>
    <col min="305" max="305" width="8.42578125" style="1" bestFit="1" customWidth="1"/>
    <col min="306" max="306" width="7" style="1" customWidth="1"/>
    <col min="307" max="308" width="5.7109375" style="1" customWidth="1"/>
    <col min="309" max="309" width="19.28515625" style="1" customWidth="1"/>
    <col min="310" max="320" width="5.7109375" style="1" customWidth="1"/>
    <col min="321" max="321" width="5.42578125" style="1" customWidth="1"/>
    <col min="322" max="324" width="5.7109375" style="1" customWidth="1"/>
    <col min="325" max="325" width="7.28515625" style="1" customWidth="1"/>
    <col min="326" max="326" width="6.85546875" style="1" customWidth="1"/>
    <col min="327" max="339" width="5.7109375" style="1" customWidth="1"/>
    <col min="340" max="340" width="6.7109375" style="1" customWidth="1"/>
    <col min="341" max="341" width="7" style="1" customWidth="1"/>
    <col min="342" max="342" width="6.5703125" style="1" customWidth="1"/>
    <col min="343" max="343" width="18.42578125" style="1" customWidth="1"/>
    <col min="344" max="514" width="8.42578125" style="1"/>
    <col min="515" max="515" width="10.5703125" style="1" customWidth="1"/>
    <col min="516" max="516" width="18.5703125" style="1" customWidth="1"/>
    <col min="517" max="517" width="10" style="1" customWidth="1"/>
    <col min="518" max="518" width="10.42578125" style="1" customWidth="1"/>
    <col min="519" max="523" width="8.7109375" style="1" customWidth="1"/>
    <col min="524" max="524" width="9.85546875" style="1" customWidth="1"/>
    <col min="525" max="525" width="8.7109375" style="1" customWidth="1"/>
    <col min="526" max="526" width="18" style="1" customWidth="1"/>
    <col min="527" max="527" width="6" style="1" customWidth="1"/>
    <col min="528" max="529" width="5.42578125" style="1" customWidth="1"/>
    <col min="530" max="530" width="5.5703125" style="1" customWidth="1"/>
    <col min="531" max="531" width="5.140625" style="1" customWidth="1"/>
    <col min="532" max="532" width="5.42578125" style="1" customWidth="1"/>
    <col min="533" max="534" width="5.140625" style="1" customWidth="1"/>
    <col min="535" max="535" width="5.42578125" style="1" customWidth="1"/>
    <col min="536" max="536" width="5.140625" style="1" customWidth="1"/>
    <col min="537" max="537" width="5" style="1" customWidth="1"/>
    <col min="538" max="538" width="5.42578125" style="1" customWidth="1"/>
    <col min="539" max="539" width="9.42578125" style="1" customWidth="1"/>
    <col min="540" max="540" width="6.85546875" style="1" customWidth="1"/>
    <col min="541" max="541" width="6.140625" style="1" customWidth="1"/>
    <col min="542" max="542" width="18.42578125" style="1" customWidth="1"/>
    <col min="543" max="560" width="5.7109375" style="1" customWidth="1"/>
    <col min="561" max="561" width="8.42578125" style="1" bestFit="1" customWidth="1"/>
    <col min="562" max="562" width="7" style="1" customWidth="1"/>
    <col min="563" max="564" width="5.7109375" style="1" customWidth="1"/>
    <col min="565" max="565" width="19.28515625" style="1" customWidth="1"/>
    <col min="566" max="576" width="5.7109375" style="1" customWidth="1"/>
    <col min="577" max="577" width="5.42578125" style="1" customWidth="1"/>
    <col min="578" max="580" width="5.7109375" style="1" customWidth="1"/>
    <col min="581" max="581" width="7.28515625" style="1" customWidth="1"/>
    <col min="582" max="582" width="6.85546875" style="1" customWidth="1"/>
    <col min="583" max="595" width="5.7109375" style="1" customWidth="1"/>
    <col min="596" max="596" width="6.7109375" style="1" customWidth="1"/>
    <col min="597" max="597" width="7" style="1" customWidth="1"/>
    <col min="598" max="598" width="6.5703125" style="1" customWidth="1"/>
    <col min="599" max="599" width="18.42578125" style="1" customWidth="1"/>
    <col min="600" max="770" width="8.42578125" style="1"/>
    <col min="771" max="771" width="10.5703125" style="1" customWidth="1"/>
    <col min="772" max="772" width="18.5703125" style="1" customWidth="1"/>
    <col min="773" max="773" width="10" style="1" customWidth="1"/>
    <col min="774" max="774" width="10.42578125" style="1" customWidth="1"/>
    <col min="775" max="779" width="8.7109375" style="1" customWidth="1"/>
    <col min="780" max="780" width="9.85546875" style="1" customWidth="1"/>
    <col min="781" max="781" width="8.7109375" style="1" customWidth="1"/>
    <col min="782" max="782" width="18" style="1" customWidth="1"/>
    <col min="783" max="783" width="6" style="1" customWidth="1"/>
    <col min="784" max="785" width="5.42578125" style="1" customWidth="1"/>
    <col min="786" max="786" width="5.5703125" style="1" customWidth="1"/>
    <col min="787" max="787" width="5.140625" style="1" customWidth="1"/>
    <col min="788" max="788" width="5.42578125" style="1" customWidth="1"/>
    <col min="789" max="790" width="5.140625" style="1" customWidth="1"/>
    <col min="791" max="791" width="5.42578125" style="1" customWidth="1"/>
    <col min="792" max="792" width="5.140625" style="1" customWidth="1"/>
    <col min="793" max="793" width="5" style="1" customWidth="1"/>
    <col min="794" max="794" width="5.42578125" style="1" customWidth="1"/>
    <col min="795" max="795" width="9.42578125" style="1" customWidth="1"/>
    <col min="796" max="796" width="6.85546875" style="1" customWidth="1"/>
    <col min="797" max="797" width="6.140625" style="1" customWidth="1"/>
    <col min="798" max="798" width="18.42578125" style="1" customWidth="1"/>
    <col min="799" max="816" width="5.7109375" style="1" customWidth="1"/>
    <col min="817" max="817" width="8.42578125" style="1" bestFit="1" customWidth="1"/>
    <col min="818" max="818" width="7" style="1" customWidth="1"/>
    <col min="819" max="820" width="5.7109375" style="1" customWidth="1"/>
    <col min="821" max="821" width="19.28515625" style="1" customWidth="1"/>
    <col min="822" max="832" width="5.7109375" style="1" customWidth="1"/>
    <col min="833" max="833" width="5.42578125" style="1" customWidth="1"/>
    <col min="834" max="836" width="5.7109375" style="1" customWidth="1"/>
    <col min="837" max="837" width="7.28515625" style="1" customWidth="1"/>
    <col min="838" max="838" width="6.85546875" style="1" customWidth="1"/>
    <col min="839" max="851" width="5.7109375" style="1" customWidth="1"/>
    <col min="852" max="852" width="6.7109375" style="1" customWidth="1"/>
    <col min="853" max="853" width="7" style="1" customWidth="1"/>
    <col min="854" max="854" width="6.5703125" style="1" customWidth="1"/>
    <col min="855" max="855" width="18.42578125" style="1" customWidth="1"/>
    <col min="856" max="1026" width="8.42578125" style="1"/>
    <col min="1027" max="1027" width="10.5703125" style="1" customWidth="1"/>
    <col min="1028" max="1028" width="18.5703125" style="1" customWidth="1"/>
    <col min="1029" max="1029" width="10" style="1" customWidth="1"/>
    <col min="1030" max="1030" width="10.42578125" style="1" customWidth="1"/>
    <col min="1031" max="1035" width="8.7109375" style="1" customWidth="1"/>
    <col min="1036" max="1036" width="9.85546875" style="1" customWidth="1"/>
    <col min="1037" max="1037" width="8.7109375" style="1" customWidth="1"/>
    <col min="1038" max="1038" width="18" style="1" customWidth="1"/>
    <col min="1039" max="1039" width="6" style="1" customWidth="1"/>
    <col min="1040" max="1041" width="5.42578125" style="1" customWidth="1"/>
    <col min="1042" max="1042" width="5.5703125" style="1" customWidth="1"/>
    <col min="1043" max="1043" width="5.140625" style="1" customWidth="1"/>
    <col min="1044" max="1044" width="5.42578125" style="1" customWidth="1"/>
    <col min="1045" max="1046" width="5.140625" style="1" customWidth="1"/>
    <col min="1047" max="1047" width="5.42578125" style="1" customWidth="1"/>
    <col min="1048" max="1048" width="5.140625" style="1" customWidth="1"/>
    <col min="1049" max="1049" width="5" style="1" customWidth="1"/>
    <col min="1050" max="1050" width="5.42578125" style="1" customWidth="1"/>
    <col min="1051" max="1051" width="9.42578125" style="1" customWidth="1"/>
    <col min="1052" max="1052" width="6.85546875" style="1" customWidth="1"/>
    <col min="1053" max="1053" width="6.140625" style="1" customWidth="1"/>
    <col min="1054" max="1054" width="18.42578125" style="1" customWidth="1"/>
    <col min="1055" max="1072" width="5.7109375" style="1" customWidth="1"/>
    <col min="1073" max="1073" width="8.42578125" style="1" bestFit="1" customWidth="1"/>
    <col min="1074" max="1074" width="7" style="1" customWidth="1"/>
    <col min="1075" max="1076" width="5.7109375" style="1" customWidth="1"/>
    <col min="1077" max="1077" width="19.28515625" style="1" customWidth="1"/>
    <col min="1078" max="1088" width="5.7109375" style="1" customWidth="1"/>
    <col min="1089" max="1089" width="5.42578125" style="1" customWidth="1"/>
    <col min="1090" max="1092" width="5.7109375" style="1" customWidth="1"/>
    <col min="1093" max="1093" width="7.28515625" style="1" customWidth="1"/>
    <col min="1094" max="1094" width="6.85546875" style="1" customWidth="1"/>
    <col min="1095" max="1107" width="5.7109375" style="1" customWidth="1"/>
    <col min="1108" max="1108" width="6.7109375" style="1" customWidth="1"/>
    <col min="1109" max="1109" width="7" style="1" customWidth="1"/>
    <col min="1110" max="1110" width="6.5703125" style="1" customWidth="1"/>
    <col min="1111" max="1111" width="18.42578125" style="1" customWidth="1"/>
    <col min="1112" max="1282" width="8.42578125" style="1"/>
    <col min="1283" max="1283" width="10.5703125" style="1" customWidth="1"/>
    <col min="1284" max="1284" width="18.5703125" style="1" customWidth="1"/>
    <col min="1285" max="1285" width="10" style="1" customWidth="1"/>
    <col min="1286" max="1286" width="10.42578125" style="1" customWidth="1"/>
    <col min="1287" max="1291" width="8.7109375" style="1" customWidth="1"/>
    <col min="1292" max="1292" width="9.85546875" style="1" customWidth="1"/>
    <col min="1293" max="1293" width="8.7109375" style="1" customWidth="1"/>
    <col min="1294" max="1294" width="18" style="1" customWidth="1"/>
    <col min="1295" max="1295" width="6" style="1" customWidth="1"/>
    <col min="1296" max="1297" width="5.42578125" style="1" customWidth="1"/>
    <col min="1298" max="1298" width="5.5703125" style="1" customWidth="1"/>
    <col min="1299" max="1299" width="5.140625" style="1" customWidth="1"/>
    <col min="1300" max="1300" width="5.42578125" style="1" customWidth="1"/>
    <col min="1301" max="1302" width="5.140625" style="1" customWidth="1"/>
    <col min="1303" max="1303" width="5.42578125" style="1" customWidth="1"/>
    <col min="1304" max="1304" width="5.140625" style="1" customWidth="1"/>
    <col min="1305" max="1305" width="5" style="1" customWidth="1"/>
    <col min="1306" max="1306" width="5.42578125" style="1" customWidth="1"/>
    <col min="1307" max="1307" width="9.42578125" style="1" customWidth="1"/>
    <col min="1308" max="1308" width="6.85546875" style="1" customWidth="1"/>
    <col min="1309" max="1309" width="6.140625" style="1" customWidth="1"/>
    <col min="1310" max="1310" width="18.42578125" style="1" customWidth="1"/>
    <col min="1311" max="1328" width="5.7109375" style="1" customWidth="1"/>
    <col min="1329" max="1329" width="8.42578125" style="1" bestFit="1" customWidth="1"/>
    <col min="1330" max="1330" width="7" style="1" customWidth="1"/>
    <col min="1331" max="1332" width="5.7109375" style="1" customWidth="1"/>
    <col min="1333" max="1333" width="19.28515625" style="1" customWidth="1"/>
    <col min="1334" max="1344" width="5.7109375" style="1" customWidth="1"/>
    <col min="1345" max="1345" width="5.42578125" style="1" customWidth="1"/>
    <col min="1346" max="1348" width="5.7109375" style="1" customWidth="1"/>
    <col min="1349" max="1349" width="7.28515625" style="1" customWidth="1"/>
    <col min="1350" max="1350" width="6.85546875" style="1" customWidth="1"/>
    <col min="1351" max="1363" width="5.7109375" style="1" customWidth="1"/>
    <col min="1364" max="1364" width="6.7109375" style="1" customWidth="1"/>
    <col min="1365" max="1365" width="7" style="1" customWidth="1"/>
    <col min="1366" max="1366" width="6.5703125" style="1" customWidth="1"/>
    <col min="1367" max="1367" width="18.42578125" style="1" customWidth="1"/>
    <col min="1368" max="1538" width="8.42578125" style="1"/>
    <col min="1539" max="1539" width="10.5703125" style="1" customWidth="1"/>
    <col min="1540" max="1540" width="18.5703125" style="1" customWidth="1"/>
    <col min="1541" max="1541" width="10" style="1" customWidth="1"/>
    <col min="1542" max="1542" width="10.42578125" style="1" customWidth="1"/>
    <col min="1543" max="1547" width="8.7109375" style="1" customWidth="1"/>
    <col min="1548" max="1548" width="9.85546875" style="1" customWidth="1"/>
    <col min="1549" max="1549" width="8.7109375" style="1" customWidth="1"/>
    <col min="1550" max="1550" width="18" style="1" customWidth="1"/>
    <col min="1551" max="1551" width="6" style="1" customWidth="1"/>
    <col min="1552" max="1553" width="5.42578125" style="1" customWidth="1"/>
    <col min="1554" max="1554" width="5.5703125" style="1" customWidth="1"/>
    <col min="1555" max="1555" width="5.140625" style="1" customWidth="1"/>
    <col min="1556" max="1556" width="5.42578125" style="1" customWidth="1"/>
    <col min="1557" max="1558" width="5.140625" style="1" customWidth="1"/>
    <col min="1559" max="1559" width="5.42578125" style="1" customWidth="1"/>
    <col min="1560" max="1560" width="5.140625" style="1" customWidth="1"/>
    <col min="1561" max="1561" width="5" style="1" customWidth="1"/>
    <col min="1562" max="1562" width="5.42578125" style="1" customWidth="1"/>
    <col min="1563" max="1563" width="9.42578125" style="1" customWidth="1"/>
    <col min="1564" max="1564" width="6.85546875" style="1" customWidth="1"/>
    <col min="1565" max="1565" width="6.140625" style="1" customWidth="1"/>
    <col min="1566" max="1566" width="18.42578125" style="1" customWidth="1"/>
    <col min="1567" max="1584" width="5.7109375" style="1" customWidth="1"/>
    <col min="1585" max="1585" width="8.42578125" style="1" bestFit="1" customWidth="1"/>
    <col min="1586" max="1586" width="7" style="1" customWidth="1"/>
    <col min="1587" max="1588" width="5.7109375" style="1" customWidth="1"/>
    <col min="1589" max="1589" width="19.28515625" style="1" customWidth="1"/>
    <col min="1590" max="1600" width="5.7109375" style="1" customWidth="1"/>
    <col min="1601" max="1601" width="5.42578125" style="1" customWidth="1"/>
    <col min="1602" max="1604" width="5.7109375" style="1" customWidth="1"/>
    <col min="1605" max="1605" width="7.28515625" style="1" customWidth="1"/>
    <col min="1606" max="1606" width="6.85546875" style="1" customWidth="1"/>
    <col min="1607" max="1619" width="5.7109375" style="1" customWidth="1"/>
    <col min="1620" max="1620" width="6.7109375" style="1" customWidth="1"/>
    <col min="1621" max="1621" width="7" style="1" customWidth="1"/>
    <col min="1622" max="1622" width="6.5703125" style="1" customWidth="1"/>
    <col min="1623" max="1623" width="18.42578125" style="1" customWidth="1"/>
    <col min="1624" max="1794" width="8.42578125" style="1"/>
    <col min="1795" max="1795" width="10.5703125" style="1" customWidth="1"/>
    <col min="1796" max="1796" width="18.5703125" style="1" customWidth="1"/>
    <col min="1797" max="1797" width="10" style="1" customWidth="1"/>
    <col min="1798" max="1798" width="10.42578125" style="1" customWidth="1"/>
    <col min="1799" max="1803" width="8.7109375" style="1" customWidth="1"/>
    <col min="1804" max="1804" width="9.85546875" style="1" customWidth="1"/>
    <col min="1805" max="1805" width="8.7109375" style="1" customWidth="1"/>
    <col min="1806" max="1806" width="18" style="1" customWidth="1"/>
    <col min="1807" max="1807" width="6" style="1" customWidth="1"/>
    <col min="1808" max="1809" width="5.42578125" style="1" customWidth="1"/>
    <col min="1810" max="1810" width="5.5703125" style="1" customWidth="1"/>
    <col min="1811" max="1811" width="5.140625" style="1" customWidth="1"/>
    <col min="1812" max="1812" width="5.42578125" style="1" customWidth="1"/>
    <col min="1813" max="1814" width="5.140625" style="1" customWidth="1"/>
    <col min="1815" max="1815" width="5.42578125" style="1" customWidth="1"/>
    <col min="1816" max="1816" width="5.140625" style="1" customWidth="1"/>
    <col min="1817" max="1817" width="5" style="1" customWidth="1"/>
    <col min="1818" max="1818" width="5.42578125" style="1" customWidth="1"/>
    <col min="1819" max="1819" width="9.42578125" style="1" customWidth="1"/>
    <col min="1820" max="1820" width="6.85546875" style="1" customWidth="1"/>
    <col min="1821" max="1821" width="6.140625" style="1" customWidth="1"/>
    <col min="1822" max="1822" width="18.42578125" style="1" customWidth="1"/>
    <col min="1823" max="1840" width="5.7109375" style="1" customWidth="1"/>
    <col min="1841" max="1841" width="8.42578125" style="1" bestFit="1" customWidth="1"/>
    <col min="1842" max="1842" width="7" style="1" customWidth="1"/>
    <col min="1843" max="1844" width="5.7109375" style="1" customWidth="1"/>
    <col min="1845" max="1845" width="19.28515625" style="1" customWidth="1"/>
    <col min="1846" max="1856" width="5.7109375" style="1" customWidth="1"/>
    <col min="1857" max="1857" width="5.42578125" style="1" customWidth="1"/>
    <col min="1858" max="1860" width="5.7109375" style="1" customWidth="1"/>
    <col min="1861" max="1861" width="7.28515625" style="1" customWidth="1"/>
    <col min="1862" max="1862" width="6.85546875" style="1" customWidth="1"/>
    <col min="1863" max="1875" width="5.7109375" style="1" customWidth="1"/>
    <col min="1876" max="1876" width="6.7109375" style="1" customWidth="1"/>
    <col min="1877" max="1877" width="7" style="1" customWidth="1"/>
    <col min="1878" max="1878" width="6.5703125" style="1" customWidth="1"/>
    <col min="1879" max="1879" width="18.42578125" style="1" customWidth="1"/>
    <col min="1880" max="2050" width="8.42578125" style="1"/>
    <col min="2051" max="2051" width="10.5703125" style="1" customWidth="1"/>
    <col min="2052" max="2052" width="18.5703125" style="1" customWidth="1"/>
    <col min="2053" max="2053" width="10" style="1" customWidth="1"/>
    <col min="2054" max="2054" width="10.42578125" style="1" customWidth="1"/>
    <col min="2055" max="2059" width="8.7109375" style="1" customWidth="1"/>
    <col min="2060" max="2060" width="9.85546875" style="1" customWidth="1"/>
    <col min="2061" max="2061" width="8.7109375" style="1" customWidth="1"/>
    <col min="2062" max="2062" width="18" style="1" customWidth="1"/>
    <col min="2063" max="2063" width="6" style="1" customWidth="1"/>
    <col min="2064" max="2065" width="5.42578125" style="1" customWidth="1"/>
    <col min="2066" max="2066" width="5.5703125" style="1" customWidth="1"/>
    <col min="2067" max="2067" width="5.140625" style="1" customWidth="1"/>
    <col min="2068" max="2068" width="5.42578125" style="1" customWidth="1"/>
    <col min="2069" max="2070" width="5.140625" style="1" customWidth="1"/>
    <col min="2071" max="2071" width="5.42578125" style="1" customWidth="1"/>
    <col min="2072" max="2072" width="5.140625" style="1" customWidth="1"/>
    <col min="2073" max="2073" width="5" style="1" customWidth="1"/>
    <col min="2074" max="2074" width="5.42578125" style="1" customWidth="1"/>
    <col min="2075" max="2075" width="9.42578125" style="1" customWidth="1"/>
    <col min="2076" max="2076" width="6.85546875" style="1" customWidth="1"/>
    <col min="2077" max="2077" width="6.140625" style="1" customWidth="1"/>
    <col min="2078" max="2078" width="18.42578125" style="1" customWidth="1"/>
    <col min="2079" max="2096" width="5.7109375" style="1" customWidth="1"/>
    <col min="2097" max="2097" width="8.42578125" style="1" bestFit="1" customWidth="1"/>
    <col min="2098" max="2098" width="7" style="1" customWidth="1"/>
    <col min="2099" max="2100" width="5.7109375" style="1" customWidth="1"/>
    <col min="2101" max="2101" width="19.28515625" style="1" customWidth="1"/>
    <col min="2102" max="2112" width="5.7109375" style="1" customWidth="1"/>
    <col min="2113" max="2113" width="5.42578125" style="1" customWidth="1"/>
    <col min="2114" max="2116" width="5.7109375" style="1" customWidth="1"/>
    <col min="2117" max="2117" width="7.28515625" style="1" customWidth="1"/>
    <col min="2118" max="2118" width="6.85546875" style="1" customWidth="1"/>
    <col min="2119" max="2131" width="5.7109375" style="1" customWidth="1"/>
    <col min="2132" max="2132" width="6.7109375" style="1" customWidth="1"/>
    <col min="2133" max="2133" width="7" style="1" customWidth="1"/>
    <col min="2134" max="2134" width="6.5703125" style="1" customWidth="1"/>
    <col min="2135" max="2135" width="18.42578125" style="1" customWidth="1"/>
    <col min="2136" max="2306" width="8.42578125" style="1"/>
    <col min="2307" max="2307" width="10.5703125" style="1" customWidth="1"/>
    <col min="2308" max="2308" width="18.5703125" style="1" customWidth="1"/>
    <col min="2309" max="2309" width="10" style="1" customWidth="1"/>
    <col min="2310" max="2310" width="10.42578125" style="1" customWidth="1"/>
    <col min="2311" max="2315" width="8.7109375" style="1" customWidth="1"/>
    <col min="2316" max="2316" width="9.85546875" style="1" customWidth="1"/>
    <col min="2317" max="2317" width="8.7109375" style="1" customWidth="1"/>
    <col min="2318" max="2318" width="18" style="1" customWidth="1"/>
    <col min="2319" max="2319" width="6" style="1" customWidth="1"/>
    <col min="2320" max="2321" width="5.42578125" style="1" customWidth="1"/>
    <col min="2322" max="2322" width="5.5703125" style="1" customWidth="1"/>
    <col min="2323" max="2323" width="5.140625" style="1" customWidth="1"/>
    <col min="2324" max="2324" width="5.42578125" style="1" customWidth="1"/>
    <col min="2325" max="2326" width="5.140625" style="1" customWidth="1"/>
    <col min="2327" max="2327" width="5.42578125" style="1" customWidth="1"/>
    <col min="2328" max="2328" width="5.140625" style="1" customWidth="1"/>
    <col min="2329" max="2329" width="5" style="1" customWidth="1"/>
    <col min="2330" max="2330" width="5.42578125" style="1" customWidth="1"/>
    <col min="2331" max="2331" width="9.42578125" style="1" customWidth="1"/>
    <col min="2332" max="2332" width="6.85546875" style="1" customWidth="1"/>
    <col min="2333" max="2333" width="6.140625" style="1" customWidth="1"/>
    <col min="2334" max="2334" width="18.42578125" style="1" customWidth="1"/>
    <col min="2335" max="2352" width="5.7109375" style="1" customWidth="1"/>
    <col min="2353" max="2353" width="8.42578125" style="1" bestFit="1" customWidth="1"/>
    <col min="2354" max="2354" width="7" style="1" customWidth="1"/>
    <col min="2355" max="2356" width="5.7109375" style="1" customWidth="1"/>
    <col min="2357" max="2357" width="19.28515625" style="1" customWidth="1"/>
    <col min="2358" max="2368" width="5.7109375" style="1" customWidth="1"/>
    <col min="2369" max="2369" width="5.42578125" style="1" customWidth="1"/>
    <col min="2370" max="2372" width="5.7109375" style="1" customWidth="1"/>
    <col min="2373" max="2373" width="7.28515625" style="1" customWidth="1"/>
    <col min="2374" max="2374" width="6.85546875" style="1" customWidth="1"/>
    <col min="2375" max="2387" width="5.7109375" style="1" customWidth="1"/>
    <col min="2388" max="2388" width="6.7109375" style="1" customWidth="1"/>
    <col min="2389" max="2389" width="7" style="1" customWidth="1"/>
    <col min="2390" max="2390" width="6.5703125" style="1" customWidth="1"/>
    <col min="2391" max="2391" width="18.42578125" style="1" customWidth="1"/>
    <col min="2392" max="2562" width="8.42578125" style="1"/>
    <col min="2563" max="2563" width="10.5703125" style="1" customWidth="1"/>
    <col min="2564" max="2564" width="18.5703125" style="1" customWidth="1"/>
    <col min="2565" max="2565" width="10" style="1" customWidth="1"/>
    <col min="2566" max="2566" width="10.42578125" style="1" customWidth="1"/>
    <col min="2567" max="2571" width="8.7109375" style="1" customWidth="1"/>
    <col min="2572" max="2572" width="9.85546875" style="1" customWidth="1"/>
    <col min="2573" max="2573" width="8.7109375" style="1" customWidth="1"/>
    <col min="2574" max="2574" width="18" style="1" customWidth="1"/>
    <col min="2575" max="2575" width="6" style="1" customWidth="1"/>
    <col min="2576" max="2577" width="5.42578125" style="1" customWidth="1"/>
    <col min="2578" max="2578" width="5.5703125" style="1" customWidth="1"/>
    <col min="2579" max="2579" width="5.140625" style="1" customWidth="1"/>
    <col min="2580" max="2580" width="5.42578125" style="1" customWidth="1"/>
    <col min="2581" max="2582" width="5.140625" style="1" customWidth="1"/>
    <col min="2583" max="2583" width="5.42578125" style="1" customWidth="1"/>
    <col min="2584" max="2584" width="5.140625" style="1" customWidth="1"/>
    <col min="2585" max="2585" width="5" style="1" customWidth="1"/>
    <col min="2586" max="2586" width="5.42578125" style="1" customWidth="1"/>
    <col min="2587" max="2587" width="9.42578125" style="1" customWidth="1"/>
    <col min="2588" max="2588" width="6.85546875" style="1" customWidth="1"/>
    <col min="2589" max="2589" width="6.140625" style="1" customWidth="1"/>
    <col min="2590" max="2590" width="18.42578125" style="1" customWidth="1"/>
    <col min="2591" max="2608" width="5.7109375" style="1" customWidth="1"/>
    <col min="2609" max="2609" width="8.42578125" style="1" bestFit="1" customWidth="1"/>
    <col min="2610" max="2610" width="7" style="1" customWidth="1"/>
    <col min="2611" max="2612" width="5.7109375" style="1" customWidth="1"/>
    <col min="2613" max="2613" width="19.28515625" style="1" customWidth="1"/>
    <col min="2614" max="2624" width="5.7109375" style="1" customWidth="1"/>
    <col min="2625" max="2625" width="5.42578125" style="1" customWidth="1"/>
    <col min="2626" max="2628" width="5.7109375" style="1" customWidth="1"/>
    <col min="2629" max="2629" width="7.28515625" style="1" customWidth="1"/>
    <col min="2630" max="2630" width="6.85546875" style="1" customWidth="1"/>
    <col min="2631" max="2643" width="5.7109375" style="1" customWidth="1"/>
    <col min="2644" max="2644" width="6.7109375" style="1" customWidth="1"/>
    <col min="2645" max="2645" width="7" style="1" customWidth="1"/>
    <col min="2646" max="2646" width="6.5703125" style="1" customWidth="1"/>
    <col min="2647" max="2647" width="18.42578125" style="1" customWidth="1"/>
    <col min="2648" max="2818" width="8.42578125" style="1"/>
    <col min="2819" max="2819" width="10.5703125" style="1" customWidth="1"/>
    <col min="2820" max="2820" width="18.5703125" style="1" customWidth="1"/>
    <col min="2821" max="2821" width="10" style="1" customWidth="1"/>
    <col min="2822" max="2822" width="10.42578125" style="1" customWidth="1"/>
    <col min="2823" max="2827" width="8.7109375" style="1" customWidth="1"/>
    <col min="2828" max="2828" width="9.85546875" style="1" customWidth="1"/>
    <col min="2829" max="2829" width="8.7109375" style="1" customWidth="1"/>
    <col min="2830" max="2830" width="18" style="1" customWidth="1"/>
    <col min="2831" max="2831" width="6" style="1" customWidth="1"/>
    <col min="2832" max="2833" width="5.42578125" style="1" customWidth="1"/>
    <col min="2834" max="2834" width="5.5703125" style="1" customWidth="1"/>
    <col min="2835" max="2835" width="5.140625" style="1" customWidth="1"/>
    <col min="2836" max="2836" width="5.42578125" style="1" customWidth="1"/>
    <col min="2837" max="2838" width="5.140625" style="1" customWidth="1"/>
    <col min="2839" max="2839" width="5.42578125" style="1" customWidth="1"/>
    <col min="2840" max="2840" width="5.140625" style="1" customWidth="1"/>
    <col min="2841" max="2841" width="5" style="1" customWidth="1"/>
    <col min="2842" max="2842" width="5.42578125" style="1" customWidth="1"/>
    <col min="2843" max="2843" width="9.42578125" style="1" customWidth="1"/>
    <col min="2844" max="2844" width="6.85546875" style="1" customWidth="1"/>
    <col min="2845" max="2845" width="6.140625" style="1" customWidth="1"/>
    <col min="2846" max="2846" width="18.42578125" style="1" customWidth="1"/>
    <col min="2847" max="2864" width="5.7109375" style="1" customWidth="1"/>
    <col min="2865" max="2865" width="8.42578125" style="1" bestFit="1" customWidth="1"/>
    <col min="2866" max="2866" width="7" style="1" customWidth="1"/>
    <col min="2867" max="2868" width="5.7109375" style="1" customWidth="1"/>
    <col min="2869" max="2869" width="19.28515625" style="1" customWidth="1"/>
    <col min="2870" max="2880" width="5.7109375" style="1" customWidth="1"/>
    <col min="2881" max="2881" width="5.42578125" style="1" customWidth="1"/>
    <col min="2882" max="2884" width="5.7109375" style="1" customWidth="1"/>
    <col min="2885" max="2885" width="7.28515625" style="1" customWidth="1"/>
    <col min="2886" max="2886" width="6.85546875" style="1" customWidth="1"/>
    <col min="2887" max="2899" width="5.7109375" style="1" customWidth="1"/>
    <col min="2900" max="2900" width="6.7109375" style="1" customWidth="1"/>
    <col min="2901" max="2901" width="7" style="1" customWidth="1"/>
    <col min="2902" max="2902" width="6.5703125" style="1" customWidth="1"/>
    <col min="2903" max="2903" width="18.42578125" style="1" customWidth="1"/>
    <col min="2904" max="3074" width="8.42578125" style="1"/>
    <col min="3075" max="3075" width="10.5703125" style="1" customWidth="1"/>
    <col min="3076" max="3076" width="18.5703125" style="1" customWidth="1"/>
    <col min="3077" max="3077" width="10" style="1" customWidth="1"/>
    <col min="3078" max="3078" width="10.42578125" style="1" customWidth="1"/>
    <col min="3079" max="3083" width="8.7109375" style="1" customWidth="1"/>
    <col min="3084" max="3084" width="9.85546875" style="1" customWidth="1"/>
    <col min="3085" max="3085" width="8.7109375" style="1" customWidth="1"/>
    <col min="3086" max="3086" width="18" style="1" customWidth="1"/>
    <col min="3087" max="3087" width="6" style="1" customWidth="1"/>
    <col min="3088" max="3089" width="5.42578125" style="1" customWidth="1"/>
    <col min="3090" max="3090" width="5.5703125" style="1" customWidth="1"/>
    <col min="3091" max="3091" width="5.140625" style="1" customWidth="1"/>
    <col min="3092" max="3092" width="5.42578125" style="1" customWidth="1"/>
    <col min="3093" max="3094" width="5.140625" style="1" customWidth="1"/>
    <col min="3095" max="3095" width="5.42578125" style="1" customWidth="1"/>
    <col min="3096" max="3096" width="5.140625" style="1" customWidth="1"/>
    <col min="3097" max="3097" width="5" style="1" customWidth="1"/>
    <col min="3098" max="3098" width="5.42578125" style="1" customWidth="1"/>
    <col min="3099" max="3099" width="9.42578125" style="1" customWidth="1"/>
    <col min="3100" max="3100" width="6.85546875" style="1" customWidth="1"/>
    <col min="3101" max="3101" width="6.140625" style="1" customWidth="1"/>
    <col min="3102" max="3102" width="18.42578125" style="1" customWidth="1"/>
    <col min="3103" max="3120" width="5.7109375" style="1" customWidth="1"/>
    <col min="3121" max="3121" width="8.42578125" style="1" bestFit="1" customWidth="1"/>
    <col min="3122" max="3122" width="7" style="1" customWidth="1"/>
    <col min="3123" max="3124" width="5.7109375" style="1" customWidth="1"/>
    <col min="3125" max="3125" width="19.28515625" style="1" customWidth="1"/>
    <col min="3126" max="3136" width="5.7109375" style="1" customWidth="1"/>
    <col min="3137" max="3137" width="5.42578125" style="1" customWidth="1"/>
    <col min="3138" max="3140" width="5.7109375" style="1" customWidth="1"/>
    <col min="3141" max="3141" width="7.28515625" style="1" customWidth="1"/>
    <col min="3142" max="3142" width="6.85546875" style="1" customWidth="1"/>
    <col min="3143" max="3155" width="5.7109375" style="1" customWidth="1"/>
    <col min="3156" max="3156" width="6.7109375" style="1" customWidth="1"/>
    <col min="3157" max="3157" width="7" style="1" customWidth="1"/>
    <col min="3158" max="3158" width="6.5703125" style="1" customWidth="1"/>
    <col min="3159" max="3159" width="18.42578125" style="1" customWidth="1"/>
    <col min="3160" max="3330" width="8.42578125" style="1"/>
    <col min="3331" max="3331" width="10.5703125" style="1" customWidth="1"/>
    <col min="3332" max="3332" width="18.5703125" style="1" customWidth="1"/>
    <col min="3333" max="3333" width="10" style="1" customWidth="1"/>
    <col min="3334" max="3334" width="10.42578125" style="1" customWidth="1"/>
    <col min="3335" max="3339" width="8.7109375" style="1" customWidth="1"/>
    <col min="3340" max="3340" width="9.85546875" style="1" customWidth="1"/>
    <col min="3341" max="3341" width="8.7109375" style="1" customWidth="1"/>
    <col min="3342" max="3342" width="18" style="1" customWidth="1"/>
    <col min="3343" max="3343" width="6" style="1" customWidth="1"/>
    <col min="3344" max="3345" width="5.42578125" style="1" customWidth="1"/>
    <col min="3346" max="3346" width="5.5703125" style="1" customWidth="1"/>
    <col min="3347" max="3347" width="5.140625" style="1" customWidth="1"/>
    <col min="3348" max="3348" width="5.42578125" style="1" customWidth="1"/>
    <col min="3349" max="3350" width="5.140625" style="1" customWidth="1"/>
    <col min="3351" max="3351" width="5.42578125" style="1" customWidth="1"/>
    <col min="3352" max="3352" width="5.140625" style="1" customWidth="1"/>
    <col min="3353" max="3353" width="5" style="1" customWidth="1"/>
    <col min="3354" max="3354" width="5.42578125" style="1" customWidth="1"/>
    <col min="3355" max="3355" width="9.42578125" style="1" customWidth="1"/>
    <col min="3356" max="3356" width="6.85546875" style="1" customWidth="1"/>
    <col min="3357" max="3357" width="6.140625" style="1" customWidth="1"/>
    <col min="3358" max="3358" width="18.42578125" style="1" customWidth="1"/>
    <col min="3359" max="3376" width="5.7109375" style="1" customWidth="1"/>
    <col min="3377" max="3377" width="8.42578125" style="1" bestFit="1" customWidth="1"/>
    <col min="3378" max="3378" width="7" style="1" customWidth="1"/>
    <col min="3379" max="3380" width="5.7109375" style="1" customWidth="1"/>
    <col min="3381" max="3381" width="19.28515625" style="1" customWidth="1"/>
    <col min="3382" max="3392" width="5.7109375" style="1" customWidth="1"/>
    <col min="3393" max="3393" width="5.42578125" style="1" customWidth="1"/>
    <col min="3394" max="3396" width="5.7109375" style="1" customWidth="1"/>
    <col min="3397" max="3397" width="7.28515625" style="1" customWidth="1"/>
    <col min="3398" max="3398" width="6.85546875" style="1" customWidth="1"/>
    <col min="3399" max="3411" width="5.7109375" style="1" customWidth="1"/>
    <col min="3412" max="3412" width="6.7109375" style="1" customWidth="1"/>
    <col min="3413" max="3413" width="7" style="1" customWidth="1"/>
    <col min="3414" max="3414" width="6.5703125" style="1" customWidth="1"/>
    <col min="3415" max="3415" width="18.42578125" style="1" customWidth="1"/>
    <col min="3416" max="3586" width="8.42578125" style="1"/>
    <col min="3587" max="3587" width="10.5703125" style="1" customWidth="1"/>
    <col min="3588" max="3588" width="18.5703125" style="1" customWidth="1"/>
    <col min="3589" max="3589" width="10" style="1" customWidth="1"/>
    <col min="3590" max="3590" width="10.42578125" style="1" customWidth="1"/>
    <col min="3591" max="3595" width="8.7109375" style="1" customWidth="1"/>
    <col min="3596" max="3596" width="9.85546875" style="1" customWidth="1"/>
    <col min="3597" max="3597" width="8.7109375" style="1" customWidth="1"/>
    <col min="3598" max="3598" width="18" style="1" customWidth="1"/>
    <col min="3599" max="3599" width="6" style="1" customWidth="1"/>
    <col min="3600" max="3601" width="5.42578125" style="1" customWidth="1"/>
    <col min="3602" max="3602" width="5.5703125" style="1" customWidth="1"/>
    <col min="3603" max="3603" width="5.140625" style="1" customWidth="1"/>
    <col min="3604" max="3604" width="5.42578125" style="1" customWidth="1"/>
    <col min="3605" max="3606" width="5.140625" style="1" customWidth="1"/>
    <col min="3607" max="3607" width="5.42578125" style="1" customWidth="1"/>
    <col min="3608" max="3608" width="5.140625" style="1" customWidth="1"/>
    <col min="3609" max="3609" width="5" style="1" customWidth="1"/>
    <col min="3610" max="3610" width="5.42578125" style="1" customWidth="1"/>
    <col min="3611" max="3611" width="9.42578125" style="1" customWidth="1"/>
    <col min="3612" max="3612" width="6.85546875" style="1" customWidth="1"/>
    <col min="3613" max="3613" width="6.140625" style="1" customWidth="1"/>
    <col min="3614" max="3614" width="18.42578125" style="1" customWidth="1"/>
    <col min="3615" max="3632" width="5.7109375" style="1" customWidth="1"/>
    <col min="3633" max="3633" width="8.42578125" style="1" bestFit="1" customWidth="1"/>
    <col min="3634" max="3634" width="7" style="1" customWidth="1"/>
    <col min="3635" max="3636" width="5.7109375" style="1" customWidth="1"/>
    <col min="3637" max="3637" width="19.28515625" style="1" customWidth="1"/>
    <col min="3638" max="3648" width="5.7109375" style="1" customWidth="1"/>
    <col min="3649" max="3649" width="5.42578125" style="1" customWidth="1"/>
    <col min="3650" max="3652" width="5.7109375" style="1" customWidth="1"/>
    <col min="3653" max="3653" width="7.28515625" style="1" customWidth="1"/>
    <col min="3654" max="3654" width="6.85546875" style="1" customWidth="1"/>
    <col min="3655" max="3667" width="5.7109375" style="1" customWidth="1"/>
    <col min="3668" max="3668" width="6.7109375" style="1" customWidth="1"/>
    <col min="3669" max="3669" width="7" style="1" customWidth="1"/>
    <col min="3670" max="3670" width="6.5703125" style="1" customWidth="1"/>
    <col min="3671" max="3671" width="18.42578125" style="1" customWidth="1"/>
    <col min="3672" max="3842" width="8.42578125" style="1"/>
    <col min="3843" max="3843" width="10.5703125" style="1" customWidth="1"/>
    <col min="3844" max="3844" width="18.5703125" style="1" customWidth="1"/>
    <col min="3845" max="3845" width="10" style="1" customWidth="1"/>
    <col min="3846" max="3846" width="10.42578125" style="1" customWidth="1"/>
    <col min="3847" max="3851" width="8.7109375" style="1" customWidth="1"/>
    <col min="3852" max="3852" width="9.85546875" style="1" customWidth="1"/>
    <col min="3853" max="3853" width="8.7109375" style="1" customWidth="1"/>
    <col min="3854" max="3854" width="18" style="1" customWidth="1"/>
    <col min="3855" max="3855" width="6" style="1" customWidth="1"/>
    <col min="3856" max="3857" width="5.42578125" style="1" customWidth="1"/>
    <col min="3858" max="3858" width="5.5703125" style="1" customWidth="1"/>
    <col min="3859" max="3859" width="5.140625" style="1" customWidth="1"/>
    <col min="3860" max="3860" width="5.42578125" style="1" customWidth="1"/>
    <col min="3861" max="3862" width="5.140625" style="1" customWidth="1"/>
    <col min="3863" max="3863" width="5.42578125" style="1" customWidth="1"/>
    <col min="3864" max="3864" width="5.140625" style="1" customWidth="1"/>
    <col min="3865" max="3865" width="5" style="1" customWidth="1"/>
    <col min="3866" max="3866" width="5.42578125" style="1" customWidth="1"/>
    <col min="3867" max="3867" width="9.42578125" style="1" customWidth="1"/>
    <col min="3868" max="3868" width="6.85546875" style="1" customWidth="1"/>
    <col min="3869" max="3869" width="6.140625" style="1" customWidth="1"/>
    <col min="3870" max="3870" width="18.42578125" style="1" customWidth="1"/>
    <col min="3871" max="3888" width="5.7109375" style="1" customWidth="1"/>
    <col min="3889" max="3889" width="8.42578125" style="1" bestFit="1" customWidth="1"/>
    <col min="3890" max="3890" width="7" style="1" customWidth="1"/>
    <col min="3891" max="3892" width="5.7109375" style="1" customWidth="1"/>
    <col min="3893" max="3893" width="19.28515625" style="1" customWidth="1"/>
    <col min="3894" max="3904" width="5.7109375" style="1" customWidth="1"/>
    <col min="3905" max="3905" width="5.42578125" style="1" customWidth="1"/>
    <col min="3906" max="3908" width="5.7109375" style="1" customWidth="1"/>
    <col min="3909" max="3909" width="7.28515625" style="1" customWidth="1"/>
    <col min="3910" max="3910" width="6.85546875" style="1" customWidth="1"/>
    <col min="3911" max="3923" width="5.7109375" style="1" customWidth="1"/>
    <col min="3924" max="3924" width="6.7109375" style="1" customWidth="1"/>
    <col min="3925" max="3925" width="7" style="1" customWidth="1"/>
    <col min="3926" max="3926" width="6.5703125" style="1" customWidth="1"/>
    <col min="3927" max="3927" width="18.42578125" style="1" customWidth="1"/>
    <col min="3928" max="4098" width="8.42578125" style="1"/>
    <col min="4099" max="4099" width="10.5703125" style="1" customWidth="1"/>
    <col min="4100" max="4100" width="18.5703125" style="1" customWidth="1"/>
    <col min="4101" max="4101" width="10" style="1" customWidth="1"/>
    <col min="4102" max="4102" width="10.42578125" style="1" customWidth="1"/>
    <col min="4103" max="4107" width="8.7109375" style="1" customWidth="1"/>
    <col min="4108" max="4108" width="9.85546875" style="1" customWidth="1"/>
    <col min="4109" max="4109" width="8.7109375" style="1" customWidth="1"/>
    <col min="4110" max="4110" width="18" style="1" customWidth="1"/>
    <col min="4111" max="4111" width="6" style="1" customWidth="1"/>
    <col min="4112" max="4113" width="5.42578125" style="1" customWidth="1"/>
    <col min="4114" max="4114" width="5.5703125" style="1" customWidth="1"/>
    <col min="4115" max="4115" width="5.140625" style="1" customWidth="1"/>
    <col min="4116" max="4116" width="5.42578125" style="1" customWidth="1"/>
    <col min="4117" max="4118" width="5.140625" style="1" customWidth="1"/>
    <col min="4119" max="4119" width="5.42578125" style="1" customWidth="1"/>
    <col min="4120" max="4120" width="5.140625" style="1" customWidth="1"/>
    <col min="4121" max="4121" width="5" style="1" customWidth="1"/>
    <col min="4122" max="4122" width="5.42578125" style="1" customWidth="1"/>
    <col min="4123" max="4123" width="9.42578125" style="1" customWidth="1"/>
    <col min="4124" max="4124" width="6.85546875" style="1" customWidth="1"/>
    <col min="4125" max="4125" width="6.140625" style="1" customWidth="1"/>
    <col min="4126" max="4126" width="18.42578125" style="1" customWidth="1"/>
    <col min="4127" max="4144" width="5.7109375" style="1" customWidth="1"/>
    <col min="4145" max="4145" width="8.42578125" style="1" bestFit="1" customWidth="1"/>
    <col min="4146" max="4146" width="7" style="1" customWidth="1"/>
    <col min="4147" max="4148" width="5.7109375" style="1" customWidth="1"/>
    <col min="4149" max="4149" width="19.28515625" style="1" customWidth="1"/>
    <col min="4150" max="4160" width="5.7109375" style="1" customWidth="1"/>
    <col min="4161" max="4161" width="5.42578125" style="1" customWidth="1"/>
    <col min="4162" max="4164" width="5.7109375" style="1" customWidth="1"/>
    <col min="4165" max="4165" width="7.28515625" style="1" customWidth="1"/>
    <col min="4166" max="4166" width="6.85546875" style="1" customWidth="1"/>
    <col min="4167" max="4179" width="5.7109375" style="1" customWidth="1"/>
    <col min="4180" max="4180" width="6.7109375" style="1" customWidth="1"/>
    <col min="4181" max="4181" width="7" style="1" customWidth="1"/>
    <col min="4182" max="4182" width="6.5703125" style="1" customWidth="1"/>
    <col min="4183" max="4183" width="18.42578125" style="1" customWidth="1"/>
    <col min="4184" max="4354" width="8.42578125" style="1"/>
    <col min="4355" max="4355" width="10.5703125" style="1" customWidth="1"/>
    <col min="4356" max="4356" width="18.5703125" style="1" customWidth="1"/>
    <col min="4357" max="4357" width="10" style="1" customWidth="1"/>
    <col min="4358" max="4358" width="10.42578125" style="1" customWidth="1"/>
    <col min="4359" max="4363" width="8.7109375" style="1" customWidth="1"/>
    <col min="4364" max="4364" width="9.85546875" style="1" customWidth="1"/>
    <col min="4365" max="4365" width="8.7109375" style="1" customWidth="1"/>
    <col min="4366" max="4366" width="18" style="1" customWidth="1"/>
    <col min="4367" max="4367" width="6" style="1" customWidth="1"/>
    <col min="4368" max="4369" width="5.42578125" style="1" customWidth="1"/>
    <col min="4370" max="4370" width="5.5703125" style="1" customWidth="1"/>
    <col min="4371" max="4371" width="5.140625" style="1" customWidth="1"/>
    <col min="4372" max="4372" width="5.42578125" style="1" customWidth="1"/>
    <col min="4373" max="4374" width="5.140625" style="1" customWidth="1"/>
    <col min="4375" max="4375" width="5.42578125" style="1" customWidth="1"/>
    <col min="4376" max="4376" width="5.140625" style="1" customWidth="1"/>
    <col min="4377" max="4377" width="5" style="1" customWidth="1"/>
    <col min="4378" max="4378" width="5.42578125" style="1" customWidth="1"/>
    <col min="4379" max="4379" width="9.42578125" style="1" customWidth="1"/>
    <col min="4380" max="4380" width="6.85546875" style="1" customWidth="1"/>
    <col min="4381" max="4381" width="6.140625" style="1" customWidth="1"/>
    <col min="4382" max="4382" width="18.42578125" style="1" customWidth="1"/>
    <col min="4383" max="4400" width="5.7109375" style="1" customWidth="1"/>
    <col min="4401" max="4401" width="8.42578125" style="1" bestFit="1" customWidth="1"/>
    <col min="4402" max="4402" width="7" style="1" customWidth="1"/>
    <col min="4403" max="4404" width="5.7109375" style="1" customWidth="1"/>
    <col min="4405" max="4405" width="19.28515625" style="1" customWidth="1"/>
    <col min="4406" max="4416" width="5.7109375" style="1" customWidth="1"/>
    <col min="4417" max="4417" width="5.42578125" style="1" customWidth="1"/>
    <col min="4418" max="4420" width="5.7109375" style="1" customWidth="1"/>
    <col min="4421" max="4421" width="7.28515625" style="1" customWidth="1"/>
    <col min="4422" max="4422" width="6.85546875" style="1" customWidth="1"/>
    <col min="4423" max="4435" width="5.7109375" style="1" customWidth="1"/>
    <col min="4436" max="4436" width="6.7109375" style="1" customWidth="1"/>
    <col min="4437" max="4437" width="7" style="1" customWidth="1"/>
    <col min="4438" max="4438" width="6.5703125" style="1" customWidth="1"/>
    <col min="4439" max="4439" width="18.42578125" style="1" customWidth="1"/>
    <col min="4440" max="4610" width="8.42578125" style="1"/>
    <col min="4611" max="4611" width="10.5703125" style="1" customWidth="1"/>
    <col min="4612" max="4612" width="18.5703125" style="1" customWidth="1"/>
    <col min="4613" max="4613" width="10" style="1" customWidth="1"/>
    <col min="4614" max="4614" width="10.42578125" style="1" customWidth="1"/>
    <col min="4615" max="4619" width="8.7109375" style="1" customWidth="1"/>
    <col min="4620" max="4620" width="9.85546875" style="1" customWidth="1"/>
    <col min="4621" max="4621" width="8.7109375" style="1" customWidth="1"/>
    <col min="4622" max="4622" width="18" style="1" customWidth="1"/>
    <col min="4623" max="4623" width="6" style="1" customWidth="1"/>
    <col min="4624" max="4625" width="5.42578125" style="1" customWidth="1"/>
    <col min="4626" max="4626" width="5.5703125" style="1" customWidth="1"/>
    <col min="4627" max="4627" width="5.140625" style="1" customWidth="1"/>
    <col min="4628" max="4628" width="5.42578125" style="1" customWidth="1"/>
    <col min="4629" max="4630" width="5.140625" style="1" customWidth="1"/>
    <col min="4631" max="4631" width="5.42578125" style="1" customWidth="1"/>
    <col min="4632" max="4632" width="5.140625" style="1" customWidth="1"/>
    <col min="4633" max="4633" width="5" style="1" customWidth="1"/>
    <col min="4634" max="4634" width="5.42578125" style="1" customWidth="1"/>
    <col min="4635" max="4635" width="9.42578125" style="1" customWidth="1"/>
    <col min="4636" max="4636" width="6.85546875" style="1" customWidth="1"/>
    <col min="4637" max="4637" width="6.140625" style="1" customWidth="1"/>
    <col min="4638" max="4638" width="18.42578125" style="1" customWidth="1"/>
    <col min="4639" max="4656" width="5.7109375" style="1" customWidth="1"/>
    <col min="4657" max="4657" width="8.42578125" style="1" bestFit="1" customWidth="1"/>
    <col min="4658" max="4658" width="7" style="1" customWidth="1"/>
    <col min="4659" max="4660" width="5.7109375" style="1" customWidth="1"/>
    <col min="4661" max="4661" width="19.28515625" style="1" customWidth="1"/>
    <col min="4662" max="4672" width="5.7109375" style="1" customWidth="1"/>
    <col min="4673" max="4673" width="5.42578125" style="1" customWidth="1"/>
    <col min="4674" max="4676" width="5.7109375" style="1" customWidth="1"/>
    <col min="4677" max="4677" width="7.28515625" style="1" customWidth="1"/>
    <col min="4678" max="4678" width="6.85546875" style="1" customWidth="1"/>
    <col min="4679" max="4691" width="5.7109375" style="1" customWidth="1"/>
    <col min="4692" max="4692" width="6.7109375" style="1" customWidth="1"/>
    <col min="4693" max="4693" width="7" style="1" customWidth="1"/>
    <col min="4694" max="4694" width="6.5703125" style="1" customWidth="1"/>
    <col min="4695" max="4695" width="18.42578125" style="1" customWidth="1"/>
    <col min="4696" max="4866" width="8.42578125" style="1"/>
    <col min="4867" max="4867" width="10.5703125" style="1" customWidth="1"/>
    <col min="4868" max="4868" width="18.5703125" style="1" customWidth="1"/>
    <col min="4869" max="4869" width="10" style="1" customWidth="1"/>
    <col min="4870" max="4870" width="10.42578125" style="1" customWidth="1"/>
    <col min="4871" max="4875" width="8.7109375" style="1" customWidth="1"/>
    <col min="4876" max="4876" width="9.85546875" style="1" customWidth="1"/>
    <col min="4877" max="4877" width="8.7109375" style="1" customWidth="1"/>
    <col min="4878" max="4878" width="18" style="1" customWidth="1"/>
    <col min="4879" max="4879" width="6" style="1" customWidth="1"/>
    <col min="4880" max="4881" width="5.42578125" style="1" customWidth="1"/>
    <col min="4882" max="4882" width="5.5703125" style="1" customWidth="1"/>
    <col min="4883" max="4883" width="5.140625" style="1" customWidth="1"/>
    <col min="4884" max="4884" width="5.42578125" style="1" customWidth="1"/>
    <col min="4885" max="4886" width="5.140625" style="1" customWidth="1"/>
    <col min="4887" max="4887" width="5.42578125" style="1" customWidth="1"/>
    <col min="4888" max="4888" width="5.140625" style="1" customWidth="1"/>
    <col min="4889" max="4889" width="5" style="1" customWidth="1"/>
    <col min="4890" max="4890" width="5.42578125" style="1" customWidth="1"/>
    <col min="4891" max="4891" width="9.42578125" style="1" customWidth="1"/>
    <col min="4892" max="4892" width="6.85546875" style="1" customWidth="1"/>
    <col min="4893" max="4893" width="6.140625" style="1" customWidth="1"/>
    <col min="4894" max="4894" width="18.42578125" style="1" customWidth="1"/>
    <col min="4895" max="4912" width="5.7109375" style="1" customWidth="1"/>
    <col min="4913" max="4913" width="8.42578125" style="1" bestFit="1" customWidth="1"/>
    <col min="4914" max="4914" width="7" style="1" customWidth="1"/>
    <col min="4915" max="4916" width="5.7109375" style="1" customWidth="1"/>
    <col min="4917" max="4917" width="19.28515625" style="1" customWidth="1"/>
    <col min="4918" max="4928" width="5.7109375" style="1" customWidth="1"/>
    <col min="4929" max="4929" width="5.42578125" style="1" customWidth="1"/>
    <col min="4930" max="4932" width="5.7109375" style="1" customWidth="1"/>
    <col min="4933" max="4933" width="7.28515625" style="1" customWidth="1"/>
    <col min="4934" max="4934" width="6.85546875" style="1" customWidth="1"/>
    <col min="4935" max="4947" width="5.7109375" style="1" customWidth="1"/>
    <col min="4948" max="4948" width="6.7109375" style="1" customWidth="1"/>
    <col min="4949" max="4949" width="7" style="1" customWidth="1"/>
    <col min="4950" max="4950" width="6.5703125" style="1" customWidth="1"/>
    <col min="4951" max="4951" width="18.42578125" style="1" customWidth="1"/>
    <col min="4952" max="5122" width="8.42578125" style="1"/>
    <col min="5123" max="5123" width="10.5703125" style="1" customWidth="1"/>
    <col min="5124" max="5124" width="18.5703125" style="1" customWidth="1"/>
    <col min="5125" max="5125" width="10" style="1" customWidth="1"/>
    <col min="5126" max="5126" width="10.42578125" style="1" customWidth="1"/>
    <col min="5127" max="5131" width="8.7109375" style="1" customWidth="1"/>
    <col min="5132" max="5132" width="9.85546875" style="1" customWidth="1"/>
    <col min="5133" max="5133" width="8.7109375" style="1" customWidth="1"/>
    <col min="5134" max="5134" width="18" style="1" customWidth="1"/>
    <col min="5135" max="5135" width="6" style="1" customWidth="1"/>
    <col min="5136" max="5137" width="5.42578125" style="1" customWidth="1"/>
    <col min="5138" max="5138" width="5.5703125" style="1" customWidth="1"/>
    <col min="5139" max="5139" width="5.140625" style="1" customWidth="1"/>
    <col min="5140" max="5140" width="5.42578125" style="1" customWidth="1"/>
    <col min="5141" max="5142" width="5.140625" style="1" customWidth="1"/>
    <col min="5143" max="5143" width="5.42578125" style="1" customWidth="1"/>
    <col min="5144" max="5144" width="5.140625" style="1" customWidth="1"/>
    <col min="5145" max="5145" width="5" style="1" customWidth="1"/>
    <col min="5146" max="5146" width="5.42578125" style="1" customWidth="1"/>
    <col min="5147" max="5147" width="9.42578125" style="1" customWidth="1"/>
    <col min="5148" max="5148" width="6.85546875" style="1" customWidth="1"/>
    <col min="5149" max="5149" width="6.140625" style="1" customWidth="1"/>
    <col min="5150" max="5150" width="18.42578125" style="1" customWidth="1"/>
    <col min="5151" max="5168" width="5.7109375" style="1" customWidth="1"/>
    <col min="5169" max="5169" width="8.42578125" style="1" bestFit="1" customWidth="1"/>
    <col min="5170" max="5170" width="7" style="1" customWidth="1"/>
    <col min="5171" max="5172" width="5.7109375" style="1" customWidth="1"/>
    <col min="5173" max="5173" width="19.28515625" style="1" customWidth="1"/>
    <col min="5174" max="5184" width="5.7109375" style="1" customWidth="1"/>
    <col min="5185" max="5185" width="5.42578125" style="1" customWidth="1"/>
    <col min="5186" max="5188" width="5.7109375" style="1" customWidth="1"/>
    <col min="5189" max="5189" width="7.28515625" style="1" customWidth="1"/>
    <col min="5190" max="5190" width="6.85546875" style="1" customWidth="1"/>
    <col min="5191" max="5203" width="5.7109375" style="1" customWidth="1"/>
    <col min="5204" max="5204" width="6.7109375" style="1" customWidth="1"/>
    <col min="5205" max="5205" width="7" style="1" customWidth="1"/>
    <col min="5206" max="5206" width="6.5703125" style="1" customWidth="1"/>
    <col min="5207" max="5207" width="18.42578125" style="1" customWidth="1"/>
    <col min="5208" max="5378" width="8.42578125" style="1"/>
    <col min="5379" max="5379" width="10.5703125" style="1" customWidth="1"/>
    <col min="5380" max="5380" width="18.5703125" style="1" customWidth="1"/>
    <col min="5381" max="5381" width="10" style="1" customWidth="1"/>
    <col min="5382" max="5382" width="10.42578125" style="1" customWidth="1"/>
    <col min="5383" max="5387" width="8.7109375" style="1" customWidth="1"/>
    <col min="5388" max="5388" width="9.85546875" style="1" customWidth="1"/>
    <col min="5389" max="5389" width="8.7109375" style="1" customWidth="1"/>
    <col min="5390" max="5390" width="18" style="1" customWidth="1"/>
    <col min="5391" max="5391" width="6" style="1" customWidth="1"/>
    <col min="5392" max="5393" width="5.42578125" style="1" customWidth="1"/>
    <col min="5394" max="5394" width="5.5703125" style="1" customWidth="1"/>
    <col min="5395" max="5395" width="5.140625" style="1" customWidth="1"/>
    <col min="5396" max="5396" width="5.42578125" style="1" customWidth="1"/>
    <col min="5397" max="5398" width="5.140625" style="1" customWidth="1"/>
    <col min="5399" max="5399" width="5.42578125" style="1" customWidth="1"/>
    <col min="5400" max="5400" width="5.140625" style="1" customWidth="1"/>
    <col min="5401" max="5401" width="5" style="1" customWidth="1"/>
    <col min="5402" max="5402" width="5.42578125" style="1" customWidth="1"/>
    <col min="5403" max="5403" width="9.42578125" style="1" customWidth="1"/>
    <col min="5404" max="5404" width="6.85546875" style="1" customWidth="1"/>
    <col min="5405" max="5405" width="6.140625" style="1" customWidth="1"/>
    <col min="5406" max="5406" width="18.42578125" style="1" customWidth="1"/>
    <col min="5407" max="5424" width="5.7109375" style="1" customWidth="1"/>
    <col min="5425" max="5425" width="8.42578125" style="1" bestFit="1" customWidth="1"/>
    <col min="5426" max="5426" width="7" style="1" customWidth="1"/>
    <col min="5427" max="5428" width="5.7109375" style="1" customWidth="1"/>
    <col min="5429" max="5429" width="19.28515625" style="1" customWidth="1"/>
    <col min="5430" max="5440" width="5.7109375" style="1" customWidth="1"/>
    <col min="5441" max="5441" width="5.42578125" style="1" customWidth="1"/>
    <col min="5442" max="5444" width="5.7109375" style="1" customWidth="1"/>
    <col min="5445" max="5445" width="7.28515625" style="1" customWidth="1"/>
    <col min="5446" max="5446" width="6.85546875" style="1" customWidth="1"/>
    <col min="5447" max="5459" width="5.7109375" style="1" customWidth="1"/>
    <col min="5460" max="5460" width="6.7109375" style="1" customWidth="1"/>
    <col min="5461" max="5461" width="7" style="1" customWidth="1"/>
    <col min="5462" max="5462" width="6.5703125" style="1" customWidth="1"/>
    <col min="5463" max="5463" width="18.42578125" style="1" customWidth="1"/>
    <col min="5464" max="5634" width="8.42578125" style="1"/>
    <col min="5635" max="5635" width="10.5703125" style="1" customWidth="1"/>
    <col min="5636" max="5636" width="18.5703125" style="1" customWidth="1"/>
    <col min="5637" max="5637" width="10" style="1" customWidth="1"/>
    <col min="5638" max="5638" width="10.42578125" style="1" customWidth="1"/>
    <col min="5639" max="5643" width="8.7109375" style="1" customWidth="1"/>
    <col min="5644" max="5644" width="9.85546875" style="1" customWidth="1"/>
    <col min="5645" max="5645" width="8.7109375" style="1" customWidth="1"/>
    <col min="5646" max="5646" width="18" style="1" customWidth="1"/>
    <col min="5647" max="5647" width="6" style="1" customWidth="1"/>
    <col min="5648" max="5649" width="5.42578125" style="1" customWidth="1"/>
    <col min="5650" max="5650" width="5.5703125" style="1" customWidth="1"/>
    <col min="5651" max="5651" width="5.140625" style="1" customWidth="1"/>
    <col min="5652" max="5652" width="5.42578125" style="1" customWidth="1"/>
    <col min="5653" max="5654" width="5.140625" style="1" customWidth="1"/>
    <col min="5655" max="5655" width="5.42578125" style="1" customWidth="1"/>
    <col min="5656" max="5656" width="5.140625" style="1" customWidth="1"/>
    <col min="5657" max="5657" width="5" style="1" customWidth="1"/>
    <col min="5658" max="5658" width="5.42578125" style="1" customWidth="1"/>
    <col min="5659" max="5659" width="9.42578125" style="1" customWidth="1"/>
    <col min="5660" max="5660" width="6.85546875" style="1" customWidth="1"/>
    <col min="5661" max="5661" width="6.140625" style="1" customWidth="1"/>
    <col min="5662" max="5662" width="18.42578125" style="1" customWidth="1"/>
    <col min="5663" max="5680" width="5.7109375" style="1" customWidth="1"/>
    <col min="5681" max="5681" width="8.42578125" style="1" bestFit="1" customWidth="1"/>
    <col min="5682" max="5682" width="7" style="1" customWidth="1"/>
    <col min="5683" max="5684" width="5.7109375" style="1" customWidth="1"/>
    <col min="5685" max="5685" width="19.28515625" style="1" customWidth="1"/>
    <col min="5686" max="5696" width="5.7109375" style="1" customWidth="1"/>
    <col min="5697" max="5697" width="5.42578125" style="1" customWidth="1"/>
    <col min="5698" max="5700" width="5.7109375" style="1" customWidth="1"/>
    <col min="5701" max="5701" width="7.28515625" style="1" customWidth="1"/>
    <col min="5702" max="5702" width="6.85546875" style="1" customWidth="1"/>
    <col min="5703" max="5715" width="5.7109375" style="1" customWidth="1"/>
    <col min="5716" max="5716" width="6.7109375" style="1" customWidth="1"/>
    <col min="5717" max="5717" width="7" style="1" customWidth="1"/>
    <col min="5718" max="5718" width="6.5703125" style="1" customWidth="1"/>
    <col min="5719" max="5719" width="18.42578125" style="1" customWidth="1"/>
    <col min="5720" max="5890" width="8.42578125" style="1"/>
    <col min="5891" max="5891" width="10.5703125" style="1" customWidth="1"/>
    <col min="5892" max="5892" width="18.5703125" style="1" customWidth="1"/>
    <col min="5893" max="5893" width="10" style="1" customWidth="1"/>
    <col min="5894" max="5894" width="10.42578125" style="1" customWidth="1"/>
    <col min="5895" max="5899" width="8.7109375" style="1" customWidth="1"/>
    <col min="5900" max="5900" width="9.85546875" style="1" customWidth="1"/>
    <col min="5901" max="5901" width="8.7109375" style="1" customWidth="1"/>
    <col min="5902" max="5902" width="18" style="1" customWidth="1"/>
    <col min="5903" max="5903" width="6" style="1" customWidth="1"/>
    <col min="5904" max="5905" width="5.42578125" style="1" customWidth="1"/>
    <col min="5906" max="5906" width="5.5703125" style="1" customWidth="1"/>
    <col min="5907" max="5907" width="5.140625" style="1" customWidth="1"/>
    <col min="5908" max="5908" width="5.42578125" style="1" customWidth="1"/>
    <col min="5909" max="5910" width="5.140625" style="1" customWidth="1"/>
    <col min="5911" max="5911" width="5.42578125" style="1" customWidth="1"/>
    <col min="5912" max="5912" width="5.140625" style="1" customWidth="1"/>
    <col min="5913" max="5913" width="5" style="1" customWidth="1"/>
    <col min="5914" max="5914" width="5.42578125" style="1" customWidth="1"/>
    <col min="5915" max="5915" width="9.42578125" style="1" customWidth="1"/>
    <col min="5916" max="5916" width="6.85546875" style="1" customWidth="1"/>
    <col min="5917" max="5917" width="6.140625" style="1" customWidth="1"/>
    <col min="5918" max="5918" width="18.42578125" style="1" customWidth="1"/>
    <col min="5919" max="5936" width="5.7109375" style="1" customWidth="1"/>
    <col min="5937" max="5937" width="8.42578125" style="1" bestFit="1" customWidth="1"/>
    <col min="5938" max="5938" width="7" style="1" customWidth="1"/>
    <col min="5939" max="5940" width="5.7109375" style="1" customWidth="1"/>
    <col min="5941" max="5941" width="19.28515625" style="1" customWidth="1"/>
    <col min="5942" max="5952" width="5.7109375" style="1" customWidth="1"/>
    <col min="5953" max="5953" width="5.42578125" style="1" customWidth="1"/>
    <col min="5954" max="5956" width="5.7109375" style="1" customWidth="1"/>
    <col min="5957" max="5957" width="7.28515625" style="1" customWidth="1"/>
    <col min="5958" max="5958" width="6.85546875" style="1" customWidth="1"/>
    <col min="5959" max="5971" width="5.7109375" style="1" customWidth="1"/>
    <col min="5972" max="5972" width="6.7109375" style="1" customWidth="1"/>
    <col min="5973" max="5973" width="7" style="1" customWidth="1"/>
    <col min="5974" max="5974" width="6.5703125" style="1" customWidth="1"/>
    <col min="5975" max="5975" width="18.42578125" style="1" customWidth="1"/>
    <col min="5976" max="6146" width="8.42578125" style="1"/>
    <col min="6147" max="6147" width="10.5703125" style="1" customWidth="1"/>
    <col min="6148" max="6148" width="18.5703125" style="1" customWidth="1"/>
    <col min="6149" max="6149" width="10" style="1" customWidth="1"/>
    <col min="6150" max="6150" width="10.42578125" style="1" customWidth="1"/>
    <col min="6151" max="6155" width="8.7109375" style="1" customWidth="1"/>
    <col min="6156" max="6156" width="9.85546875" style="1" customWidth="1"/>
    <col min="6157" max="6157" width="8.7109375" style="1" customWidth="1"/>
    <col min="6158" max="6158" width="18" style="1" customWidth="1"/>
    <col min="6159" max="6159" width="6" style="1" customWidth="1"/>
    <col min="6160" max="6161" width="5.42578125" style="1" customWidth="1"/>
    <col min="6162" max="6162" width="5.5703125" style="1" customWidth="1"/>
    <col min="6163" max="6163" width="5.140625" style="1" customWidth="1"/>
    <col min="6164" max="6164" width="5.42578125" style="1" customWidth="1"/>
    <col min="6165" max="6166" width="5.140625" style="1" customWidth="1"/>
    <col min="6167" max="6167" width="5.42578125" style="1" customWidth="1"/>
    <col min="6168" max="6168" width="5.140625" style="1" customWidth="1"/>
    <col min="6169" max="6169" width="5" style="1" customWidth="1"/>
    <col min="6170" max="6170" width="5.42578125" style="1" customWidth="1"/>
    <col min="6171" max="6171" width="9.42578125" style="1" customWidth="1"/>
    <col min="6172" max="6172" width="6.85546875" style="1" customWidth="1"/>
    <col min="6173" max="6173" width="6.140625" style="1" customWidth="1"/>
    <col min="6174" max="6174" width="18.42578125" style="1" customWidth="1"/>
    <col min="6175" max="6192" width="5.7109375" style="1" customWidth="1"/>
    <col min="6193" max="6193" width="8.42578125" style="1" bestFit="1" customWidth="1"/>
    <col min="6194" max="6194" width="7" style="1" customWidth="1"/>
    <col min="6195" max="6196" width="5.7109375" style="1" customWidth="1"/>
    <col min="6197" max="6197" width="19.28515625" style="1" customWidth="1"/>
    <col min="6198" max="6208" width="5.7109375" style="1" customWidth="1"/>
    <col min="6209" max="6209" width="5.42578125" style="1" customWidth="1"/>
    <col min="6210" max="6212" width="5.7109375" style="1" customWidth="1"/>
    <col min="6213" max="6213" width="7.28515625" style="1" customWidth="1"/>
    <col min="6214" max="6214" width="6.85546875" style="1" customWidth="1"/>
    <col min="6215" max="6227" width="5.7109375" style="1" customWidth="1"/>
    <col min="6228" max="6228" width="6.7109375" style="1" customWidth="1"/>
    <col min="6229" max="6229" width="7" style="1" customWidth="1"/>
    <col min="6230" max="6230" width="6.5703125" style="1" customWidth="1"/>
    <col min="6231" max="6231" width="18.42578125" style="1" customWidth="1"/>
    <col min="6232" max="6402" width="8.42578125" style="1"/>
    <col min="6403" max="6403" width="10.5703125" style="1" customWidth="1"/>
    <col min="6404" max="6404" width="18.5703125" style="1" customWidth="1"/>
    <col min="6405" max="6405" width="10" style="1" customWidth="1"/>
    <col min="6406" max="6406" width="10.42578125" style="1" customWidth="1"/>
    <col min="6407" max="6411" width="8.7109375" style="1" customWidth="1"/>
    <col min="6412" max="6412" width="9.85546875" style="1" customWidth="1"/>
    <col min="6413" max="6413" width="8.7109375" style="1" customWidth="1"/>
    <col min="6414" max="6414" width="18" style="1" customWidth="1"/>
    <col min="6415" max="6415" width="6" style="1" customWidth="1"/>
    <col min="6416" max="6417" width="5.42578125" style="1" customWidth="1"/>
    <col min="6418" max="6418" width="5.5703125" style="1" customWidth="1"/>
    <col min="6419" max="6419" width="5.140625" style="1" customWidth="1"/>
    <col min="6420" max="6420" width="5.42578125" style="1" customWidth="1"/>
    <col min="6421" max="6422" width="5.140625" style="1" customWidth="1"/>
    <col min="6423" max="6423" width="5.42578125" style="1" customWidth="1"/>
    <col min="6424" max="6424" width="5.140625" style="1" customWidth="1"/>
    <col min="6425" max="6425" width="5" style="1" customWidth="1"/>
    <col min="6426" max="6426" width="5.42578125" style="1" customWidth="1"/>
    <col min="6427" max="6427" width="9.42578125" style="1" customWidth="1"/>
    <col min="6428" max="6428" width="6.85546875" style="1" customWidth="1"/>
    <col min="6429" max="6429" width="6.140625" style="1" customWidth="1"/>
    <col min="6430" max="6430" width="18.42578125" style="1" customWidth="1"/>
    <col min="6431" max="6448" width="5.7109375" style="1" customWidth="1"/>
    <col min="6449" max="6449" width="8.42578125" style="1" bestFit="1" customWidth="1"/>
    <col min="6450" max="6450" width="7" style="1" customWidth="1"/>
    <col min="6451" max="6452" width="5.7109375" style="1" customWidth="1"/>
    <col min="6453" max="6453" width="19.28515625" style="1" customWidth="1"/>
    <col min="6454" max="6464" width="5.7109375" style="1" customWidth="1"/>
    <col min="6465" max="6465" width="5.42578125" style="1" customWidth="1"/>
    <col min="6466" max="6468" width="5.7109375" style="1" customWidth="1"/>
    <col min="6469" max="6469" width="7.28515625" style="1" customWidth="1"/>
    <col min="6470" max="6470" width="6.85546875" style="1" customWidth="1"/>
    <col min="6471" max="6483" width="5.7109375" style="1" customWidth="1"/>
    <col min="6484" max="6484" width="6.7109375" style="1" customWidth="1"/>
    <col min="6485" max="6485" width="7" style="1" customWidth="1"/>
    <col min="6486" max="6486" width="6.5703125" style="1" customWidth="1"/>
    <col min="6487" max="6487" width="18.42578125" style="1" customWidth="1"/>
    <col min="6488" max="6658" width="8.42578125" style="1"/>
    <col min="6659" max="6659" width="10.5703125" style="1" customWidth="1"/>
    <col min="6660" max="6660" width="18.5703125" style="1" customWidth="1"/>
    <col min="6661" max="6661" width="10" style="1" customWidth="1"/>
    <col min="6662" max="6662" width="10.42578125" style="1" customWidth="1"/>
    <col min="6663" max="6667" width="8.7109375" style="1" customWidth="1"/>
    <col min="6668" max="6668" width="9.85546875" style="1" customWidth="1"/>
    <col min="6669" max="6669" width="8.7109375" style="1" customWidth="1"/>
    <col min="6670" max="6670" width="18" style="1" customWidth="1"/>
    <col min="6671" max="6671" width="6" style="1" customWidth="1"/>
    <col min="6672" max="6673" width="5.42578125" style="1" customWidth="1"/>
    <col min="6674" max="6674" width="5.5703125" style="1" customWidth="1"/>
    <col min="6675" max="6675" width="5.140625" style="1" customWidth="1"/>
    <col min="6676" max="6676" width="5.42578125" style="1" customWidth="1"/>
    <col min="6677" max="6678" width="5.140625" style="1" customWidth="1"/>
    <col min="6679" max="6679" width="5.42578125" style="1" customWidth="1"/>
    <col min="6680" max="6680" width="5.140625" style="1" customWidth="1"/>
    <col min="6681" max="6681" width="5" style="1" customWidth="1"/>
    <col min="6682" max="6682" width="5.42578125" style="1" customWidth="1"/>
    <col min="6683" max="6683" width="9.42578125" style="1" customWidth="1"/>
    <col min="6684" max="6684" width="6.85546875" style="1" customWidth="1"/>
    <col min="6685" max="6685" width="6.140625" style="1" customWidth="1"/>
    <col min="6686" max="6686" width="18.42578125" style="1" customWidth="1"/>
    <col min="6687" max="6704" width="5.7109375" style="1" customWidth="1"/>
    <col min="6705" max="6705" width="8.42578125" style="1" bestFit="1" customWidth="1"/>
    <col min="6706" max="6706" width="7" style="1" customWidth="1"/>
    <col min="6707" max="6708" width="5.7109375" style="1" customWidth="1"/>
    <col min="6709" max="6709" width="19.28515625" style="1" customWidth="1"/>
    <col min="6710" max="6720" width="5.7109375" style="1" customWidth="1"/>
    <col min="6721" max="6721" width="5.42578125" style="1" customWidth="1"/>
    <col min="6722" max="6724" width="5.7109375" style="1" customWidth="1"/>
    <col min="6725" max="6725" width="7.28515625" style="1" customWidth="1"/>
    <col min="6726" max="6726" width="6.85546875" style="1" customWidth="1"/>
    <col min="6727" max="6739" width="5.7109375" style="1" customWidth="1"/>
    <col min="6740" max="6740" width="6.7109375" style="1" customWidth="1"/>
    <col min="6741" max="6741" width="7" style="1" customWidth="1"/>
    <col min="6742" max="6742" width="6.5703125" style="1" customWidth="1"/>
    <col min="6743" max="6743" width="18.42578125" style="1" customWidth="1"/>
    <col min="6744" max="6914" width="8.42578125" style="1"/>
    <col min="6915" max="6915" width="10.5703125" style="1" customWidth="1"/>
    <col min="6916" max="6916" width="18.5703125" style="1" customWidth="1"/>
    <col min="6917" max="6917" width="10" style="1" customWidth="1"/>
    <col min="6918" max="6918" width="10.42578125" style="1" customWidth="1"/>
    <col min="6919" max="6923" width="8.7109375" style="1" customWidth="1"/>
    <col min="6924" max="6924" width="9.85546875" style="1" customWidth="1"/>
    <col min="6925" max="6925" width="8.7109375" style="1" customWidth="1"/>
    <col min="6926" max="6926" width="18" style="1" customWidth="1"/>
    <col min="6927" max="6927" width="6" style="1" customWidth="1"/>
    <col min="6928" max="6929" width="5.42578125" style="1" customWidth="1"/>
    <col min="6930" max="6930" width="5.5703125" style="1" customWidth="1"/>
    <col min="6931" max="6931" width="5.140625" style="1" customWidth="1"/>
    <col min="6932" max="6932" width="5.42578125" style="1" customWidth="1"/>
    <col min="6933" max="6934" width="5.140625" style="1" customWidth="1"/>
    <col min="6935" max="6935" width="5.42578125" style="1" customWidth="1"/>
    <col min="6936" max="6936" width="5.140625" style="1" customWidth="1"/>
    <col min="6937" max="6937" width="5" style="1" customWidth="1"/>
    <col min="6938" max="6938" width="5.42578125" style="1" customWidth="1"/>
    <col min="6939" max="6939" width="9.42578125" style="1" customWidth="1"/>
    <col min="6940" max="6940" width="6.85546875" style="1" customWidth="1"/>
    <col min="6941" max="6941" width="6.140625" style="1" customWidth="1"/>
    <col min="6942" max="6942" width="18.42578125" style="1" customWidth="1"/>
    <col min="6943" max="6960" width="5.7109375" style="1" customWidth="1"/>
    <col min="6961" max="6961" width="8.42578125" style="1" bestFit="1" customWidth="1"/>
    <col min="6962" max="6962" width="7" style="1" customWidth="1"/>
    <col min="6963" max="6964" width="5.7109375" style="1" customWidth="1"/>
    <col min="6965" max="6965" width="19.28515625" style="1" customWidth="1"/>
    <col min="6966" max="6976" width="5.7109375" style="1" customWidth="1"/>
    <col min="6977" max="6977" width="5.42578125" style="1" customWidth="1"/>
    <col min="6978" max="6980" width="5.7109375" style="1" customWidth="1"/>
    <col min="6981" max="6981" width="7.28515625" style="1" customWidth="1"/>
    <col min="6982" max="6982" width="6.85546875" style="1" customWidth="1"/>
    <col min="6983" max="6995" width="5.7109375" style="1" customWidth="1"/>
    <col min="6996" max="6996" width="6.7109375" style="1" customWidth="1"/>
    <col min="6997" max="6997" width="7" style="1" customWidth="1"/>
    <col min="6998" max="6998" width="6.5703125" style="1" customWidth="1"/>
    <col min="6999" max="6999" width="18.42578125" style="1" customWidth="1"/>
    <col min="7000" max="7170" width="8.42578125" style="1"/>
    <col min="7171" max="7171" width="10.5703125" style="1" customWidth="1"/>
    <col min="7172" max="7172" width="18.5703125" style="1" customWidth="1"/>
    <col min="7173" max="7173" width="10" style="1" customWidth="1"/>
    <col min="7174" max="7174" width="10.42578125" style="1" customWidth="1"/>
    <col min="7175" max="7179" width="8.7109375" style="1" customWidth="1"/>
    <col min="7180" max="7180" width="9.85546875" style="1" customWidth="1"/>
    <col min="7181" max="7181" width="8.7109375" style="1" customWidth="1"/>
    <col min="7182" max="7182" width="18" style="1" customWidth="1"/>
    <col min="7183" max="7183" width="6" style="1" customWidth="1"/>
    <col min="7184" max="7185" width="5.42578125" style="1" customWidth="1"/>
    <col min="7186" max="7186" width="5.5703125" style="1" customWidth="1"/>
    <col min="7187" max="7187" width="5.140625" style="1" customWidth="1"/>
    <col min="7188" max="7188" width="5.42578125" style="1" customWidth="1"/>
    <col min="7189" max="7190" width="5.140625" style="1" customWidth="1"/>
    <col min="7191" max="7191" width="5.42578125" style="1" customWidth="1"/>
    <col min="7192" max="7192" width="5.140625" style="1" customWidth="1"/>
    <col min="7193" max="7193" width="5" style="1" customWidth="1"/>
    <col min="7194" max="7194" width="5.42578125" style="1" customWidth="1"/>
    <col min="7195" max="7195" width="9.42578125" style="1" customWidth="1"/>
    <col min="7196" max="7196" width="6.85546875" style="1" customWidth="1"/>
    <col min="7197" max="7197" width="6.140625" style="1" customWidth="1"/>
    <col min="7198" max="7198" width="18.42578125" style="1" customWidth="1"/>
    <col min="7199" max="7216" width="5.7109375" style="1" customWidth="1"/>
    <col min="7217" max="7217" width="8.42578125" style="1" bestFit="1" customWidth="1"/>
    <col min="7218" max="7218" width="7" style="1" customWidth="1"/>
    <col min="7219" max="7220" width="5.7109375" style="1" customWidth="1"/>
    <col min="7221" max="7221" width="19.28515625" style="1" customWidth="1"/>
    <col min="7222" max="7232" width="5.7109375" style="1" customWidth="1"/>
    <col min="7233" max="7233" width="5.42578125" style="1" customWidth="1"/>
    <col min="7234" max="7236" width="5.7109375" style="1" customWidth="1"/>
    <col min="7237" max="7237" width="7.28515625" style="1" customWidth="1"/>
    <col min="7238" max="7238" width="6.85546875" style="1" customWidth="1"/>
    <col min="7239" max="7251" width="5.7109375" style="1" customWidth="1"/>
    <col min="7252" max="7252" width="6.7109375" style="1" customWidth="1"/>
    <col min="7253" max="7253" width="7" style="1" customWidth="1"/>
    <col min="7254" max="7254" width="6.5703125" style="1" customWidth="1"/>
    <col min="7255" max="7255" width="18.42578125" style="1" customWidth="1"/>
    <col min="7256" max="7426" width="8.42578125" style="1"/>
    <col min="7427" max="7427" width="10.5703125" style="1" customWidth="1"/>
    <col min="7428" max="7428" width="18.5703125" style="1" customWidth="1"/>
    <col min="7429" max="7429" width="10" style="1" customWidth="1"/>
    <col min="7430" max="7430" width="10.42578125" style="1" customWidth="1"/>
    <col min="7431" max="7435" width="8.7109375" style="1" customWidth="1"/>
    <col min="7436" max="7436" width="9.85546875" style="1" customWidth="1"/>
    <col min="7437" max="7437" width="8.7109375" style="1" customWidth="1"/>
    <col min="7438" max="7438" width="18" style="1" customWidth="1"/>
    <col min="7439" max="7439" width="6" style="1" customWidth="1"/>
    <col min="7440" max="7441" width="5.42578125" style="1" customWidth="1"/>
    <col min="7442" max="7442" width="5.5703125" style="1" customWidth="1"/>
    <col min="7443" max="7443" width="5.140625" style="1" customWidth="1"/>
    <col min="7444" max="7444" width="5.42578125" style="1" customWidth="1"/>
    <col min="7445" max="7446" width="5.140625" style="1" customWidth="1"/>
    <col min="7447" max="7447" width="5.42578125" style="1" customWidth="1"/>
    <col min="7448" max="7448" width="5.140625" style="1" customWidth="1"/>
    <col min="7449" max="7449" width="5" style="1" customWidth="1"/>
    <col min="7450" max="7450" width="5.42578125" style="1" customWidth="1"/>
    <col min="7451" max="7451" width="9.42578125" style="1" customWidth="1"/>
    <col min="7452" max="7452" width="6.85546875" style="1" customWidth="1"/>
    <col min="7453" max="7453" width="6.140625" style="1" customWidth="1"/>
    <col min="7454" max="7454" width="18.42578125" style="1" customWidth="1"/>
    <col min="7455" max="7472" width="5.7109375" style="1" customWidth="1"/>
    <col min="7473" max="7473" width="8.42578125" style="1" bestFit="1" customWidth="1"/>
    <col min="7474" max="7474" width="7" style="1" customWidth="1"/>
    <col min="7475" max="7476" width="5.7109375" style="1" customWidth="1"/>
    <col min="7477" max="7477" width="19.28515625" style="1" customWidth="1"/>
    <col min="7478" max="7488" width="5.7109375" style="1" customWidth="1"/>
    <col min="7489" max="7489" width="5.42578125" style="1" customWidth="1"/>
    <col min="7490" max="7492" width="5.7109375" style="1" customWidth="1"/>
    <col min="7493" max="7493" width="7.28515625" style="1" customWidth="1"/>
    <col min="7494" max="7494" width="6.85546875" style="1" customWidth="1"/>
    <col min="7495" max="7507" width="5.7109375" style="1" customWidth="1"/>
    <col min="7508" max="7508" width="6.7109375" style="1" customWidth="1"/>
    <col min="7509" max="7509" width="7" style="1" customWidth="1"/>
    <col min="7510" max="7510" width="6.5703125" style="1" customWidth="1"/>
    <col min="7511" max="7511" width="18.42578125" style="1" customWidth="1"/>
    <col min="7512" max="7682" width="8.42578125" style="1"/>
    <col min="7683" max="7683" width="10.5703125" style="1" customWidth="1"/>
    <col min="7684" max="7684" width="18.5703125" style="1" customWidth="1"/>
    <col min="7685" max="7685" width="10" style="1" customWidth="1"/>
    <col min="7686" max="7686" width="10.42578125" style="1" customWidth="1"/>
    <col min="7687" max="7691" width="8.7109375" style="1" customWidth="1"/>
    <col min="7692" max="7692" width="9.85546875" style="1" customWidth="1"/>
    <col min="7693" max="7693" width="8.7109375" style="1" customWidth="1"/>
    <col min="7694" max="7694" width="18" style="1" customWidth="1"/>
    <col min="7695" max="7695" width="6" style="1" customWidth="1"/>
    <col min="7696" max="7697" width="5.42578125" style="1" customWidth="1"/>
    <col min="7698" max="7698" width="5.5703125" style="1" customWidth="1"/>
    <col min="7699" max="7699" width="5.140625" style="1" customWidth="1"/>
    <col min="7700" max="7700" width="5.42578125" style="1" customWidth="1"/>
    <col min="7701" max="7702" width="5.140625" style="1" customWidth="1"/>
    <col min="7703" max="7703" width="5.42578125" style="1" customWidth="1"/>
    <col min="7704" max="7704" width="5.140625" style="1" customWidth="1"/>
    <col min="7705" max="7705" width="5" style="1" customWidth="1"/>
    <col min="7706" max="7706" width="5.42578125" style="1" customWidth="1"/>
    <col min="7707" max="7707" width="9.42578125" style="1" customWidth="1"/>
    <col min="7708" max="7708" width="6.85546875" style="1" customWidth="1"/>
    <col min="7709" max="7709" width="6.140625" style="1" customWidth="1"/>
    <col min="7710" max="7710" width="18.42578125" style="1" customWidth="1"/>
    <col min="7711" max="7728" width="5.7109375" style="1" customWidth="1"/>
    <col min="7729" max="7729" width="8.42578125" style="1" bestFit="1" customWidth="1"/>
    <col min="7730" max="7730" width="7" style="1" customWidth="1"/>
    <col min="7731" max="7732" width="5.7109375" style="1" customWidth="1"/>
    <col min="7733" max="7733" width="19.28515625" style="1" customWidth="1"/>
    <col min="7734" max="7744" width="5.7109375" style="1" customWidth="1"/>
    <col min="7745" max="7745" width="5.42578125" style="1" customWidth="1"/>
    <col min="7746" max="7748" width="5.7109375" style="1" customWidth="1"/>
    <col min="7749" max="7749" width="7.28515625" style="1" customWidth="1"/>
    <col min="7750" max="7750" width="6.85546875" style="1" customWidth="1"/>
    <col min="7751" max="7763" width="5.7109375" style="1" customWidth="1"/>
    <col min="7764" max="7764" width="6.7109375" style="1" customWidth="1"/>
    <col min="7765" max="7765" width="7" style="1" customWidth="1"/>
    <col min="7766" max="7766" width="6.5703125" style="1" customWidth="1"/>
    <col min="7767" max="7767" width="18.42578125" style="1" customWidth="1"/>
    <col min="7768" max="7938" width="8.42578125" style="1"/>
    <col min="7939" max="7939" width="10.5703125" style="1" customWidth="1"/>
    <col min="7940" max="7940" width="18.5703125" style="1" customWidth="1"/>
    <col min="7941" max="7941" width="10" style="1" customWidth="1"/>
    <col min="7942" max="7942" width="10.42578125" style="1" customWidth="1"/>
    <col min="7943" max="7947" width="8.7109375" style="1" customWidth="1"/>
    <col min="7948" max="7948" width="9.85546875" style="1" customWidth="1"/>
    <col min="7949" max="7949" width="8.7109375" style="1" customWidth="1"/>
    <col min="7950" max="7950" width="18" style="1" customWidth="1"/>
    <col min="7951" max="7951" width="6" style="1" customWidth="1"/>
    <col min="7952" max="7953" width="5.42578125" style="1" customWidth="1"/>
    <col min="7954" max="7954" width="5.5703125" style="1" customWidth="1"/>
    <col min="7955" max="7955" width="5.140625" style="1" customWidth="1"/>
    <col min="7956" max="7956" width="5.42578125" style="1" customWidth="1"/>
    <col min="7957" max="7958" width="5.140625" style="1" customWidth="1"/>
    <col min="7959" max="7959" width="5.42578125" style="1" customWidth="1"/>
    <col min="7960" max="7960" width="5.140625" style="1" customWidth="1"/>
    <col min="7961" max="7961" width="5" style="1" customWidth="1"/>
    <col min="7962" max="7962" width="5.42578125" style="1" customWidth="1"/>
    <col min="7963" max="7963" width="9.42578125" style="1" customWidth="1"/>
    <col min="7964" max="7964" width="6.85546875" style="1" customWidth="1"/>
    <col min="7965" max="7965" width="6.140625" style="1" customWidth="1"/>
    <col min="7966" max="7966" width="18.42578125" style="1" customWidth="1"/>
    <col min="7967" max="7984" width="5.7109375" style="1" customWidth="1"/>
    <col min="7985" max="7985" width="8.42578125" style="1" bestFit="1" customWidth="1"/>
    <col min="7986" max="7986" width="7" style="1" customWidth="1"/>
    <col min="7987" max="7988" width="5.7109375" style="1" customWidth="1"/>
    <col min="7989" max="7989" width="19.28515625" style="1" customWidth="1"/>
    <col min="7990" max="8000" width="5.7109375" style="1" customWidth="1"/>
    <col min="8001" max="8001" width="5.42578125" style="1" customWidth="1"/>
    <col min="8002" max="8004" width="5.7109375" style="1" customWidth="1"/>
    <col min="8005" max="8005" width="7.28515625" style="1" customWidth="1"/>
    <col min="8006" max="8006" width="6.85546875" style="1" customWidth="1"/>
    <col min="8007" max="8019" width="5.7109375" style="1" customWidth="1"/>
    <col min="8020" max="8020" width="6.7109375" style="1" customWidth="1"/>
    <col min="8021" max="8021" width="7" style="1" customWidth="1"/>
    <col min="8022" max="8022" width="6.5703125" style="1" customWidth="1"/>
    <col min="8023" max="8023" width="18.42578125" style="1" customWidth="1"/>
    <col min="8024" max="8194" width="8.42578125" style="1"/>
    <col min="8195" max="8195" width="10.5703125" style="1" customWidth="1"/>
    <col min="8196" max="8196" width="18.5703125" style="1" customWidth="1"/>
    <col min="8197" max="8197" width="10" style="1" customWidth="1"/>
    <col min="8198" max="8198" width="10.42578125" style="1" customWidth="1"/>
    <col min="8199" max="8203" width="8.7109375" style="1" customWidth="1"/>
    <col min="8204" max="8204" width="9.85546875" style="1" customWidth="1"/>
    <col min="8205" max="8205" width="8.7109375" style="1" customWidth="1"/>
    <col min="8206" max="8206" width="18" style="1" customWidth="1"/>
    <col min="8207" max="8207" width="6" style="1" customWidth="1"/>
    <col min="8208" max="8209" width="5.42578125" style="1" customWidth="1"/>
    <col min="8210" max="8210" width="5.5703125" style="1" customWidth="1"/>
    <col min="8211" max="8211" width="5.140625" style="1" customWidth="1"/>
    <col min="8212" max="8212" width="5.42578125" style="1" customWidth="1"/>
    <col min="8213" max="8214" width="5.140625" style="1" customWidth="1"/>
    <col min="8215" max="8215" width="5.42578125" style="1" customWidth="1"/>
    <col min="8216" max="8216" width="5.140625" style="1" customWidth="1"/>
    <col min="8217" max="8217" width="5" style="1" customWidth="1"/>
    <col min="8218" max="8218" width="5.42578125" style="1" customWidth="1"/>
    <col min="8219" max="8219" width="9.42578125" style="1" customWidth="1"/>
    <col min="8220" max="8220" width="6.85546875" style="1" customWidth="1"/>
    <col min="8221" max="8221" width="6.140625" style="1" customWidth="1"/>
    <col min="8222" max="8222" width="18.42578125" style="1" customWidth="1"/>
    <col min="8223" max="8240" width="5.7109375" style="1" customWidth="1"/>
    <col min="8241" max="8241" width="8.42578125" style="1" bestFit="1" customWidth="1"/>
    <col min="8242" max="8242" width="7" style="1" customWidth="1"/>
    <col min="8243" max="8244" width="5.7109375" style="1" customWidth="1"/>
    <col min="8245" max="8245" width="19.28515625" style="1" customWidth="1"/>
    <col min="8246" max="8256" width="5.7109375" style="1" customWidth="1"/>
    <col min="8257" max="8257" width="5.42578125" style="1" customWidth="1"/>
    <col min="8258" max="8260" width="5.7109375" style="1" customWidth="1"/>
    <col min="8261" max="8261" width="7.28515625" style="1" customWidth="1"/>
    <col min="8262" max="8262" width="6.85546875" style="1" customWidth="1"/>
    <col min="8263" max="8275" width="5.7109375" style="1" customWidth="1"/>
    <col min="8276" max="8276" width="6.7109375" style="1" customWidth="1"/>
    <col min="8277" max="8277" width="7" style="1" customWidth="1"/>
    <col min="8278" max="8278" width="6.5703125" style="1" customWidth="1"/>
    <col min="8279" max="8279" width="18.42578125" style="1" customWidth="1"/>
    <col min="8280" max="8450" width="8.42578125" style="1"/>
    <col min="8451" max="8451" width="10.5703125" style="1" customWidth="1"/>
    <col min="8452" max="8452" width="18.5703125" style="1" customWidth="1"/>
    <col min="8453" max="8453" width="10" style="1" customWidth="1"/>
    <col min="8454" max="8454" width="10.42578125" style="1" customWidth="1"/>
    <col min="8455" max="8459" width="8.7109375" style="1" customWidth="1"/>
    <col min="8460" max="8460" width="9.85546875" style="1" customWidth="1"/>
    <col min="8461" max="8461" width="8.7109375" style="1" customWidth="1"/>
    <col min="8462" max="8462" width="18" style="1" customWidth="1"/>
    <col min="8463" max="8463" width="6" style="1" customWidth="1"/>
    <col min="8464" max="8465" width="5.42578125" style="1" customWidth="1"/>
    <col min="8466" max="8466" width="5.5703125" style="1" customWidth="1"/>
    <col min="8467" max="8467" width="5.140625" style="1" customWidth="1"/>
    <col min="8468" max="8468" width="5.42578125" style="1" customWidth="1"/>
    <col min="8469" max="8470" width="5.140625" style="1" customWidth="1"/>
    <col min="8471" max="8471" width="5.42578125" style="1" customWidth="1"/>
    <col min="8472" max="8472" width="5.140625" style="1" customWidth="1"/>
    <col min="8473" max="8473" width="5" style="1" customWidth="1"/>
    <col min="8474" max="8474" width="5.42578125" style="1" customWidth="1"/>
    <col min="8475" max="8475" width="9.42578125" style="1" customWidth="1"/>
    <col min="8476" max="8476" width="6.85546875" style="1" customWidth="1"/>
    <col min="8477" max="8477" width="6.140625" style="1" customWidth="1"/>
    <col min="8478" max="8478" width="18.42578125" style="1" customWidth="1"/>
    <col min="8479" max="8496" width="5.7109375" style="1" customWidth="1"/>
    <col min="8497" max="8497" width="8.42578125" style="1" bestFit="1" customWidth="1"/>
    <col min="8498" max="8498" width="7" style="1" customWidth="1"/>
    <col min="8499" max="8500" width="5.7109375" style="1" customWidth="1"/>
    <col min="8501" max="8501" width="19.28515625" style="1" customWidth="1"/>
    <col min="8502" max="8512" width="5.7109375" style="1" customWidth="1"/>
    <col min="8513" max="8513" width="5.42578125" style="1" customWidth="1"/>
    <col min="8514" max="8516" width="5.7109375" style="1" customWidth="1"/>
    <col min="8517" max="8517" width="7.28515625" style="1" customWidth="1"/>
    <col min="8518" max="8518" width="6.85546875" style="1" customWidth="1"/>
    <col min="8519" max="8531" width="5.7109375" style="1" customWidth="1"/>
    <col min="8532" max="8532" width="6.7109375" style="1" customWidth="1"/>
    <col min="8533" max="8533" width="7" style="1" customWidth="1"/>
    <col min="8534" max="8534" width="6.5703125" style="1" customWidth="1"/>
    <col min="8535" max="8535" width="18.42578125" style="1" customWidth="1"/>
    <col min="8536" max="8706" width="8.42578125" style="1"/>
    <col min="8707" max="8707" width="10.5703125" style="1" customWidth="1"/>
    <col min="8708" max="8708" width="18.5703125" style="1" customWidth="1"/>
    <col min="8709" max="8709" width="10" style="1" customWidth="1"/>
    <col min="8710" max="8710" width="10.42578125" style="1" customWidth="1"/>
    <col min="8711" max="8715" width="8.7109375" style="1" customWidth="1"/>
    <col min="8716" max="8716" width="9.85546875" style="1" customWidth="1"/>
    <col min="8717" max="8717" width="8.7109375" style="1" customWidth="1"/>
    <col min="8718" max="8718" width="18" style="1" customWidth="1"/>
    <col min="8719" max="8719" width="6" style="1" customWidth="1"/>
    <col min="8720" max="8721" width="5.42578125" style="1" customWidth="1"/>
    <col min="8722" max="8722" width="5.5703125" style="1" customWidth="1"/>
    <col min="8723" max="8723" width="5.140625" style="1" customWidth="1"/>
    <col min="8724" max="8724" width="5.42578125" style="1" customWidth="1"/>
    <col min="8725" max="8726" width="5.140625" style="1" customWidth="1"/>
    <col min="8727" max="8727" width="5.42578125" style="1" customWidth="1"/>
    <col min="8728" max="8728" width="5.140625" style="1" customWidth="1"/>
    <col min="8729" max="8729" width="5" style="1" customWidth="1"/>
    <col min="8730" max="8730" width="5.42578125" style="1" customWidth="1"/>
    <col min="8731" max="8731" width="9.42578125" style="1" customWidth="1"/>
    <col min="8732" max="8732" width="6.85546875" style="1" customWidth="1"/>
    <col min="8733" max="8733" width="6.140625" style="1" customWidth="1"/>
    <col min="8734" max="8734" width="18.42578125" style="1" customWidth="1"/>
    <col min="8735" max="8752" width="5.7109375" style="1" customWidth="1"/>
    <col min="8753" max="8753" width="8.42578125" style="1" bestFit="1" customWidth="1"/>
    <col min="8754" max="8754" width="7" style="1" customWidth="1"/>
    <col min="8755" max="8756" width="5.7109375" style="1" customWidth="1"/>
    <col min="8757" max="8757" width="19.28515625" style="1" customWidth="1"/>
    <col min="8758" max="8768" width="5.7109375" style="1" customWidth="1"/>
    <col min="8769" max="8769" width="5.42578125" style="1" customWidth="1"/>
    <col min="8770" max="8772" width="5.7109375" style="1" customWidth="1"/>
    <col min="8773" max="8773" width="7.28515625" style="1" customWidth="1"/>
    <col min="8774" max="8774" width="6.85546875" style="1" customWidth="1"/>
    <col min="8775" max="8787" width="5.7109375" style="1" customWidth="1"/>
    <col min="8788" max="8788" width="6.7109375" style="1" customWidth="1"/>
    <col min="8789" max="8789" width="7" style="1" customWidth="1"/>
    <col min="8790" max="8790" width="6.5703125" style="1" customWidth="1"/>
    <col min="8791" max="8791" width="18.42578125" style="1" customWidth="1"/>
    <col min="8792" max="8962" width="8.42578125" style="1"/>
    <col min="8963" max="8963" width="10.5703125" style="1" customWidth="1"/>
    <col min="8964" max="8964" width="18.5703125" style="1" customWidth="1"/>
    <col min="8965" max="8965" width="10" style="1" customWidth="1"/>
    <col min="8966" max="8966" width="10.42578125" style="1" customWidth="1"/>
    <col min="8967" max="8971" width="8.7109375" style="1" customWidth="1"/>
    <col min="8972" max="8972" width="9.85546875" style="1" customWidth="1"/>
    <col min="8973" max="8973" width="8.7109375" style="1" customWidth="1"/>
    <col min="8974" max="8974" width="18" style="1" customWidth="1"/>
    <col min="8975" max="8975" width="6" style="1" customWidth="1"/>
    <col min="8976" max="8977" width="5.42578125" style="1" customWidth="1"/>
    <col min="8978" max="8978" width="5.5703125" style="1" customWidth="1"/>
    <col min="8979" max="8979" width="5.140625" style="1" customWidth="1"/>
    <col min="8980" max="8980" width="5.42578125" style="1" customWidth="1"/>
    <col min="8981" max="8982" width="5.140625" style="1" customWidth="1"/>
    <col min="8983" max="8983" width="5.42578125" style="1" customWidth="1"/>
    <col min="8984" max="8984" width="5.140625" style="1" customWidth="1"/>
    <col min="8985" max="8985" width="5" style="1" customWidth="1"/>
    <col min="8986" max="8986" width="5.42578125" style="1" customWidth="1"/>
    <col min="8987" max="8987" width="9.42578125" style="1" customWidth="1"/>
    <col min="8988" max="8988" width="6.85546875" style="1" customWidth="1"/>
    <col min="8989" max="8989" width="6.140625" style="1" customWidth="1"/>
    <col min="8990" max="8990" width="18.42578125" style="1" customWidth="1"/>
    <col min="8991" max="9008" width="5.7109375" style="1" customWidth="1"/>
    <col min="9009" max="9009" width="8.42578125" style="1" bestFit="1" customWidth="1"/>
    <col min="9010" max="9010" width="7" style="1" customWidth="1"/>
    <col min="9011" max="9012" width="5.7109375" style="1" customWidth="1"/>
    <col min="9013" max="9013" width="19.28515625" style="1" customWidth="1"/>
    <col min="9014" max="9024" width="5.7109375" style="1" customWidth="1"/>
    <col min="9025" max="9025" width="5.42578125" style="1" customWidth="1"/>
    <col min="9026" max="9028" width="5.7109375" style="1" customWidth="1"/>
    <col min="9029" max="9029" width="7.28515625" style="1" customWidth="1"/>
    <col min="9030" max="9030" width="6.85546875" style="1" customWidth="1"/>
    <col min="9031" max="9043" width="5.7109375" style="1" customWidth="1"/>
    <col min="9044" max="9044" width="6.7109375" style="1" customWidth="1"/>
    <col min="9045" max="9045" width="7" style="1" customWidth="1"/>
    <col min="9046" max="9046" width="6.5703125" style="1" customWidth="1"/>
    <col min="9047" max="9047" width="18.42578125" style="1" customWidth="1"/>
    <col min="9048" max="9218" width="8.42578125" style="1"/>
    <col min="9219" max="9219" width="10.5703125" style="1" customWidth="1"/>
    <col min="9220" max="9220" width="18.5703125" style="1" customWidth="1"/>
    <col min="9221" max="9221" width="10" style="1" customWidth="1"/>
    <col min="9222" max="9222" width="10.42578125" style="1" customWidth="1"/>
    <col min="9223" max="9227" width="8.7109375" style="1" customWidth="1"/>
    <col min="9228" max="9228" width="9.85546875" style="1" customWidth="1"/>
    <col min="9229" max="9229" width="8.7109375" style="1" customWidth="1"/>
    <col min="9230" max="9230" width="18" style="1" customWidth="1"/>
    <col min="9231" max="9231" width="6" style="1" customWidth="1"/>
    <col min="9232" max="9233" width="5.42578125" style="1" customWidth="1"/>
    <col min="9234" max="9234" width="5.5703125" style="1" customWidth="1"/>
    <col min="9235" max="9235" width="5.140625" style="1" customWidth="1"/>
    <col min="9236" max="9236" width="5.42578125" style="1" customWidth="1"/>
    <col min="9237" max="9238" width="5.140625" style="1" customWidth="1"/>
    <col min="9239" max="9239" width="5.42578125" style="1" customWidth="1"/>
    <col min="9240" max="9240" width="5.140625" style="1" customWidth="1"/>
    <col min="9241" max="9241" width="5" style="1" customWidth="1"/>
    <col min="9242" max="9242" width="5.42578125" style="1" customWidth="1"/>
    <col min="9243" max="9243" width="9.42578125" style="1" customWidth="1"/>
    <col min="9244" max="9244" width="6.85546875" style="1" customWidth="1"/>
    <col min="9245" max="9245" width="6.140625" style="1" customWidth="1"/>
    <col min="9246" max="9246" width="18.42578125" style="1" customWidth="1"/>
    <col min="9247" max="9264" width="5.7109375" style="1" customWidth="1"/>
    <col min="9265" max="9265" width="8.42578125" style="1" bestFit="1" customWidth="1"/>
    <col min="9266" max="9266" width="7" style="1" customWidth="1"/>
    <col min="9267" max="9268" width="5.7109375" style="1" customWidth="1"/>
    <col min="9269" max="9269" width="19.28515625" style="1" customWidth="1"/>
    <col min="9270" max="9280" width="5.7109375" style="1" customWidth="1"/>
    <col min="9281" max="9281" width="5.42578125" style="1" customWidth="1"/>
    <col min="9282" max="9284" width="5.7109375" style="1" customWidth="1"/>
    <col min="9285" max="9285" width="7.28515625" style="1" customWidth="1"/>
    <col min="9286" max="9286" width="6.85546875" style="1" customWidth="1"/>
    <col min="9287" max="9299" width="5.7109375" style="1" customWidth="1"/>
    <col min="9300" max="9300" width="6.7109375" style="1" customWidth="1"/>
    <col min="9301" max="9301" width="7" style="1" customWidth="1"/>
    <col min="9302" max="9302" width="6.5703125" style="1" customWidth="1"/>
    <col min="9303" max="9303" width="18.42578125" style="1" customWidth="1"/>
    <col min="9304" max="9474" width="8.42578125" style="1"/>
    <col min="9475" max="9475" width="10.5703125" style="1" customWidth="1"/>
    <col min="9476" max="9476" width="18.5703125" style="1" customWidth="1"/>
    <col min="9477" max="9477" width="10" style="1" customWidth="1"/>
    <col min="9478" max="9478" width="10.42578125" style="1" customWidth="1"/>
    <col min="9479" max="9483" width="8.7109375" style="1" customWidth="1"/>
    <col min="9484" max="9484" width="9.85546875" style="1" customWidth="1"/>
    <col min="9485" max="9485" width="8.7109375" style="1" customWidth="1"/>
    <col min="9486" max="9486" width="18" style="1" customWidth="1"/>
    <col min="9487" max="9487" width="6" style="1" customWidth="1"/>
    <col min="9488" max="9489" width="5.42578125" style="1" customWidth="1"/>
    <col min="9490" max="9490" width="5.5703125" style="1" customWidth="1"/>
    <col min="9491" max="9491" width="5.140625" style="1" customWidth="1"/>
    <col min="9492" max="9492" width="5.42578125" style="1" customWidth="1"/>
    <col min="9493" max="9494" width="5.140625" style="1" customWidth="1"/>
    <col min="9495" max="9495" width="5.42578125" style="1" customWidth="1"/>
    <col min="9496" max="9496" width="5.140625" style="1" customWidth="1"/>
    <col min="9497" max="9497" width="5" style="1" customWidth="1"/>
    <col min="9498" max="9498" width="5.42578125" style="1" customWidth="1"/>
    <col min="9499" max="9499" width="9.42578125" style="1" customWidth="1"/>
    <col min="9500" max="9500" width="6.85546875" style="1" customWidth="1"/>
    <col min="9501" max="9501" width="6.140625" style="1" customWidth="1"/>
    <col min="9502" max="9502" width="18.42578125" style="1" customWidth="1"/>
    <col min="9503" max="9520" width="5.7109375" style="1" customWidth="1"/>
    <col min="9521" max="9521" width="8.42578125" style="1" bestFit="1" customWidth="1"/>
    <col min="9522" max="9522" width="7" style="1" customWidth="1"/>
    <col min="9523" max="9524" width="5.7109375" style="1" customWidth="1"/>
    <col min="9525" max="9525" width="19.28515625" style="1" customWidth="1"/>
    <col min="9526" max="9536" width="5.7109375" style="1" customWidth="1"/>
    <col min="9537" max="9537" width="5.42578125" style="1" customWidth="1"/>
    <col min="9538" max="9540" width="5.7109375" style="1" customWidth="1"/>
    <col min="9541" max="9541" width="7.28515625" style="1" customWidth="1"/>
    <col min="9542" max="9542" width="6.85546875" style="1" customWidth="1"/>
    <col min="9543" max="9555" width="5.7109375" style="1" customWidth="1"/>
    <col min="9556" max="9556" width="6.7109375" style="1" customWidth="1"/>
    <col min="9557" max="9557" width="7" style="1" customWidth="1"/>
    <col min="9558" max="9558" width="6.5703125" style="1" customWidth="1"/>
    <col min="9559" max="9559" width="18.42578125" style="1" customWidth="1"/>
    <col min="9560" max="9730" width="8.42578125" style="1"/>
    <col min="9731" max="9731" width="10.5703125" style="1" customWidth="1"/>
    <col min="9732" max="9732" width="18.5703125" style="1" customWidth="1"/>
    <col min="9733" max="9733" width="10" style="1" customWidth="1"/>
    <col min="9734" max="9734" width="10.42578125" style="1" customWidth="1"/>
    <col min="9735" max="9739" width="8.7109375" style="1" customWidth="1"/>
    <col min="9740" max="9740" width="9.85546875" style="1" customWidth="1"/>
    <col min="9741" max="9741" width="8.7109375" style="1" customWidth="1"/>
    <col min="9742" max="9742" width="18" style="1" customWidth="1"/>
    <col min="9743" max="9743" width="6" style="1" customWidth="1"/>
    <col min="9744" max="9745" width="5.42578125" style="1" customWidth="1"/>
    <col min="9746" max="9746" width="5.5703125" style="1" customWidth="1"/>
    <col min="9747" max="9747" width="5.140625" style="1" customWidth="1"/>
    <col min="9748" max="9748" width="5.42578125" style="1" customWidth="1"/>
    <col min="9749" max="9750" width="5.140625" style="1" customWidth="1"/>
    <col min="9751" max="9751" width="5.42578125" style="1" customWidth="1"/>
    <col min="9752" max="9752" width="5.140625" style="1" customWidth="1"/>
    <col min="9753" max="9753" width="5" style="1" customWidth="1"/>
    <col min="9754" max="9754" width="5.42578125" style="1" customWidth="1"/>
    <col min="9755" max="9755" width="9.42578125" style="1" customWidth="1"/>
    <col min="9756" max="9756" width="6.85546875" style="1" customWidth="1"/>
    <col min="9757" max="9757" width="6.140625" style="1" customWidth="1"/>
    <col min="9758" max="9758" width="18.42578125" style="1" customWidth="1"/>
    <col min="9759" max="9776" width="5.7109375" style="1" customWidth="1"/>
    <col min="9777" max="9777" width="8.42578125" style="1" bestFit="1" customWidth="1"/>
    <col min="9778" max="9778" width="7" style="1" customWidth="1"/>
    <col min="9779" max="9780" width="5.7109375" style="1" customWidth="1"/>
    <col min="9781" max="9781" width="19.28515625" style="1" customWidth="1"/>
    <col min="9782" max="9792" width="5.7109375" style="1" customWidth="1"/>
    <col min="9793" max="9793" width="5.42578125" style="1" customWidth="1"/>
    <col min="9794" max="9796" width="5.7109375" style="1" customWidth="1"/>
    <col min="9797" max="9797" width="7.28515625" style="1" customWidth="1"/>
    <col min="9798" max="9798" width="6.85546875" style="1" customWidth="1"/>
    <col min="9799" max="9811" width="5.7109375" style="1" customWidth="1"/>
    <col min="9812" max="9812" width="6.7109375" style="1" customWidth="1"/>
    <col min="9813" max="9813" width="7" style="1" customWidth="1"/>
    <col min="9814" max="9814" width="6.5703125" style="1" customWidth="1"/>
    <col min="9815" max="9815" width="18.42578125" style="1" customWidth="1"/>
    <col min="9816" max="9986" width="8.42578125" style="1"/>
    <col min="9987" max="9987" width="10.5703125" style="1" customWidth="1"/>
    <col min="9988" max="9988" width="18.5703125" style="1" customWidth="1"/>
    <col min="9989" max="9989" width="10" style="1" customWidth="1"/>
    <col min="9990" max="9990" width="10.42578125" style="1" customWidth="1"/>
    <col min="9991" max="9995" width="8.7109375" style="1" customWidth="1"/>
    <col min="9996" max="9996" width="9.85546875" style="1" customWidth="1"/>
    <col min="9997" max="9997" width="8.7109375" style="1" customWidth="1"/>
    <col min="9998" max="9998" width="18" style="1" customWidth="1"/>
    <col min="9999" max="9999" width="6" style="1" customWidth="1"/>
    <col min="10000" max="10001" width="5.42578125" style="1" customWidth="1"/>
    <col min="10002" max="10002" width="5.5703125" style="1" customWidth="1"/>
    <col min="10003" max="10003" width="5.140625" style="1" customWidth="1"/>
    <col min="10004" max="10004" width="5.42578125" style="1" customWidth="1"/>
    <col min="10005" max="10006" width="5.140625" style="1" customWidth="1"/>
    <col min="10007" max="10007" width="5.42578125" style="1" customWidth="1"/>
    <col min="10008" max="10008" width="5.140625" style="1" customWidth="1"/>
    <col min="10009" max="10009" width="5" style="1" customWidth="1"/>
    <col min="10010" max="10010" width="5.42578125" style="1" customWidth="1"/>
    <col min="10011" max="10011" width="9.42578125" style="1" customWidth="1"/>
    <col min="10012" max="10012" width="6.85546875" style="1" customWidth="1"/>
    <col min="10013" max="10013" width="6.140625" style="1" customWidth="1"/>
    <col min="10014" max="10014" width="18.42578125" style="1" customWidth="1"/>
    <col min="10015" max="10032" width="5.7109375" style="1" customWidth="1"/>
    <col min="10033" max="10033" width="8.42578125" style="1" bestFit="1" customWidth="1"/>
    <col min="10034" max="10034" width="7" style="1" customWidth="1"/>
    <col min="10035" max="10036" width="5.7109375" style="1" customWidth="1"/>
    <col min="10037" max="10037" width="19.28515625" style="1" customWidth="1"/>
    <col min="10038" max="10048" width="5.7109375" style="1" customWidth="1"/>
    <col min="10049" max="10049" width="5.42578125" style="1" customWidth="1"/>
    <col min="10050" max="10052" width="5.7109375" style="1" customWidth="1"/>
    <col min="10053" max="10053" width="7.28515625" style="1" customWidth="1"/>
    <col min="10054" max="10054" width="6.85546875" style="1" customWidth="1"/>
    <col min="10055" max="10067" width="5.7109375" style="1" customWidth="1"/>
    <col min="10068" max="10068" width="6.7109375" style="1" customWidth="1"/>
    <col min="10069" max="10069" width="7" style="1" customWidth="1"/>
    <col min="10070" max="10070" width="6.5703125" style="1" customWidth="1"/>
    <col min="10071" max="10071" width="18.42578125" style="1" customWidth="1"/>
    <col min="10072" max="10242" width="8.42578125" style="1"/>
    <col min="10243" max="10243" width="10.5703125" style="1" customWidth="1"/>
    <col min="10244" max="10244" width="18.5703125" style="1" customWidth="1"/>
    <col min="10245" max="10245" width="10" style="1" customWidth="1"/>
    <col min="10246" max="10246" width="10.42578125" style="1" customWidth="1"/>
    <col min="10247" max="10251" width="8.7109375" style="1" customWidth="1"/>
    <col min="10252" max="10252" width="9.85546875" style="1" customWidth="1"/>
    <col min="10253" max="10253" width="8.7109375" style="1" customWidth="1"/>
    <col min="10254" max="10254" width="18" style="1" customWidth="1"/>
    <col min="10255" max="10255" width="6" style="1" customWidth="1"/>
    <col min="10256" max="10257" width="5.42578125" style="1" customWidth="1"/>
    <col min="10258" max="10258" width="5.5703125" style="1" customWidth="1"/>
    <col min="10259" max="10259" width="5.140625" style="1" customWidth="1"/>
    <col min="10260" max="10260" width="5.42578125" style="1" customWidth="1"/>
    <col min="10261" max="10262" width="5.140625" style="1" customWidth="1"/>
    <col min="10263" max="10263" width="5.42578125" style="1" customWidth="1"/>
    <col min="10264" max="10264" width="5.140625" style="1" customWidth="1"/>
    <col min="10265" max="10265" width="5" style="1" customWidth="1"/>
    <col min="10266" max="10266" width="5.42578125" style="1" customWidth="1"/>
    <col min="10267" max="10267" width="9.42578125" style="1" customWidth="1"/>
    <col min="10268" max="10268" width="6.85546875" style="1" customWidth="1"/>
    <col min="10269" max="10269" width="6.140625" style="1" customWidth="1"/>
    <col min="10270" max="10270" width="18.42578125" style="1" customWidth="1"/>
    <col min="10271" max="10288" width="5.7109375" style="1" customWidth="1"/>
    <col min="10289" max="10289" width="8.42578125" style="1" bestFit="1" customWidth="1"/>
    <col min="10290" max="10290" width="7" style="1" customWidth="1"/>
    <col min="10291" max="10292" width="5.7109375" style="1" customWidth="1"/>
    <col min="10293" max="10293" width="19.28515625" style="1" customWidth="1"/>
    <col min="10294" max="10304" width="5.7109375" style="1" customWidth="1"/>
    <col min="10305" max="10305" width="5.42578125" style="1" customWidth="1"/>
    <col min="10306" max="10308" width="5.7109375" style="1" customWidth="1"/>
    <col min="10309" max="10309" width="7.28515625" style="1" customWidth="1"/>
    <col min="10310" max="10310" width="6.85546875" style="1" customWidth="1"/>
    <col min="10311" max="10323" width="5.7109375" style="1" customWidth="1"/>
    <col min="10324" max="10324" width="6.7109375" style="1" customWidth="1"/>
    <col min="10325" max="10325" width="7" style="1" customWidth="1"/>
    <col min="10326" max="10326" width="6.5703125" style="1" customWidth="1"/>
    <col min="10327" max="10327" width="18.42578125" style="1" customWidth="1"/>
    <col min="10328" max="10498" width="8.42578125" style="1"/>
    <col min="10499" max="10499" width="10.5703125" style="1" customWidth="1"/>
    <col min="10500" max="10500" width="18.5703125" style="1" customWidth="1"/>
    <col min="10501" max="10501" width="10" style="1" customWidth="1"/>
    <col min="10502" max="10502" width="10.42578125" style="1" customWidth="1"/>
    <col min="10503" max="10507" width="8.7109375" style="1" customWidth="1"/>
    <col min="10508" max="10508" width="9.85546875" style="1" customWidth="1"/>
    <col min="10509" max="10509" width="8.7109375" style="1" customWidth="1"/>
    <col min="10510" max="10510" width="18" style="1" customWidth="1"/>
    <col min="10511" max="10511" width="6" style="1" customWidth="1"/>
    <col min="10512" max="10513" width="5.42578125" style="1" customWidth="1"/>
    <col min="10514" max="10514" width="5.5703125" style="1" customWidth="1"/>
    <col min="10515" max="10515" width="5.140625" style="1" customWidth="1"/>
    <col min="10516" max="10516" width="5.42578125" style="1" customWidth="1"/>
    <col min="10517" max="10518" width="5.140625" style="1" customWidth="1"/>
    <col min="10519" max="10519" width="5.42578125" style="1" customWidth="1"/>
    <col min="10520" max="10520" width="5.140625" style="1" customWidth="1"/>
    <col min="10521" max="10521" width="5" style="1" customWidth="1"/>
    <col min="10522" max="10522" width="5.42578125" style="1" customWidth="1"/>
    <col min="10523" max="10523" width="9.42578125" style="1" customWidth="1"/>
    <col min="10524" max="10524" width="6.85546875" style="1" customWidth="1"/>
    <col min="10525" max="10525" width="6.140625" style="1" customWidth="1"/>
    <col min="10526" max="10526" width="18.42578125" style="1" customWidth="1"/>
    <col min="10527" max="10544" width="5.7109375" style="1" customWidth="1"/>
    <col min="10545" max="10545" width="8.42578125" style="1" bestFit="1" customWidth="1"/>
    <col min="10546" max="10546" width="7" style="1" customWidth="1"/>
    <col min="10547" max="10548" width="5.7109375" style="1" customWidth="1"/>
    <col min="10549" max="10549" width="19.28515625" style="1" customWidth="1"/>
    <col min="10550" max="10560" width="5.7109375" style="1" customWidth="1"/>
    <col min="10561" max="10561" width="5.42578125" style="1" customWidth="1"/>
    <col min="10562" max="10564" width="5.7109375" style="1" customWidth="1"/>
    <col min="10565" max="10565" width="7.28515625" style="1" customWidth="1"/>
    <col min="10566" max="10566" width="6.85546875" style="1" customWidth="1"/>
    <col min="10567" max="10579" width="5.7109375" style="1" customWidth="1"/>
    <col min="10580" max="10580" width="6.7109375" style="1" customWidth="1"/>
    <col min="10581" max="10581" width="7" style="1" customWidth="1"/>
    <col min="10582" max="10582" width="6.5703125" style="1" customWidth="1"/>
    <col min="10583" max="10583" width="18.42578125" style="1" customWidth="1"/>
    <col min="10584" max="10754" width="8.42578125" style="1"/>
    <col min="10755" max="10755" width="10.5703125" style="1" customWidth="1"/>
    <col min="10756" max="10756" width="18.5703125" style="1" customWidth="1"/>
    <col min="10757" max="10757" width="10" style="1" customWidth="1"/>
    <col min="10758" max="10758" width="10.42578125" style="1" customWidth="1"/>
    <col min="10759" max="10763" width="8.7109375" style="1" customWidth="1"/>
    <col min="10764" max="10764" width="9.85546875" style="1" customWidth="1"/>
    <col min="10765" max="10765" width="8.7109375" style="1" customWidth="1"/>
    <col min="10766" max="10766" width="18" style="1" customWidth="1"/>
    <col min="10767" max="10767" width="6" style="1" customWidth="1"/>
    <col min="10768" max="10769" width="5.42578125" style="1" customWidth="1"/>
    <col min="10770" max="10770" width="5.5703125" style="1" customWidth="1"/>
    <col min="10771" max="10771" width="5.140625" style="1" customWidth="1"/>
    <col min="10772" max="10772" width="5.42578125" style="1" customWidth="1"/>
    <col min="10773" max="10774" width="5.140625" style="1" customWidth="1"/>
    <col min="10775" max="10775" width="5.42578125" style="1" customWidth="1"/>
    <col min="10776" max="10776" width="5.140625" style="1" customWidth="1"/>
    <col min="10777" max="10777" width="5" style="1" customWidth="1"/>
    <col min="10778" max="10778" width="5.42578125" style="1" customWidth="1"/>
    <col min="10779" max="10779" width="9.42578125" style="1" customWidth="1"/>
    <col min="10780" max="10780" width="6.85546875" style="1" customWidth="1"/>
    <col min="10781" max="10781" width="6.140625" style="1" customWidth="1"/>
    <col min="10782" max="10782" width="18.42578125" style="1" customWidth="1"/>
    <col min="10783" max="10800" width="5.7109375" style="1" customWidth="1"/>
    <col min="10801" max="10801" width="8.42578125" style="1" bestFit="1" customWidth="1"/>
    <col min="10802" max="10802" width="7" style="1" customWidth="1"/>
    <col min="10803" max="10804" width="5.7109375" style="1" customWidth="1"/>
    <col min="10805" max="10805" width="19.28515625" style="1" customWidth="1"/>
    <col min="10806" max="10816" width="5.7109375" style="1" customWidth="1"/>
    <col min="10817" max="10817" width="5.42578125" style="1" customWidth="1"/>
    <col min="10818" max="10820" width="5.7109375" style="1" customWidth="1"/>
    <col min="10821" max="10821" width="7.28515625" style="1" customWidth="1"/>
    <col min="10822" max="10822" width="6.85546875" style="1" customWidth="1"/>
    <col min="10823" max="10835" width="5.7109375" style="1" customWidth="1"/>
    <col min="10836" max="10836" width="6.7109375" style="1" customWidth="1"/>
    <col min="10837" max="10837" width="7" style="1" customWidth="1"/>
    <col min="10838" max="10838" width="6.5703125" style="1" customWidth="1"/>
    <col min="10839" max="10839" width="18.42578125" style="1" customWidth="1"/>
    <col min="10840" max="11010" width="8.42578125" style="1"/>
    <col min="11011" max="11011" width="10.5703125" style="1" customWidth="1"/>
    <col min="11012" max="11012" width="18.5703125" style="1" customWidth="1"/>
    <col min="11013" max="11013" width="10" style="1" customWidth="1"/>
    <col min="11014" max="11014" width="10.42578125" style="1" customWidth="1"/>
    <col min="11015" max="11019" width="8.7109375" style="1" customWidth="1"/>
    <col min="11020" max="11020" width="9.85546875" style="1" customWidth="1"/>
    <col min="11021" max="11021" width="8.7109375" style="1" customWidth="1"/>
    <col min="11022" max="11022" width="18" style="1" customWidth="1"/>
    <col min="11023" max="11023" width="6" style="1" customWidth="1"/>
    <col min="11024" max="11025" width="5.42578125" style="1" customWidth="1"/>
    <col min="11026" max="11026" width="5.5703125" style="1" customWidth="1"/>
    <col min="11027" max="11027" width="5.140625" style="1" customWidth="1"/>
    <col min="11028" max="11028" width="5.42578125" style="1" customWidth="1"/>
    <col min="11029" max="11030" width="5.140625" style="1" customWidth="1"/>
    <col min="11031" max="11031" width="5.42578125" style="1" customWidth="1"/>
    <col min="11032" max="11032" width="5.140625" style="1" customWidth="1"/>
    <col min="11033" max="11033" width="5" style="1" customWidth="1"/>
    <col min="11034" max="11034" width="5.42578125" style="1" customWidth="1"/>
    <col min="11035" max="11035" width="9.42578125" style="1" customWidth="1"/>
    <col min="11036" max="11036" width="6.85546875" style="1" customWidth="1"/>
    <col min="11037" max="11037" width="6.140625" style="1" customWidth="1"/>
    <col min="11038" max="11038" width="18.42578125" style="1" customWidth="1"/>
    <col min="11039" max="11056" width="5.7109375" style="1" customWidth="1"/>
    <col min="11057" max="11057" width="8.42578125" style="1" bestFit="1" customWidth="1"/>
    <col min="11058" max="11058" width="7" style="1" customWidth="1"/>
    <col min="11059" max="11060" width="5.7109375" style="1" customWidth="1"/>
    <col min="11061" max="11061" width="19.28515625" style="1" customWidth="1"/>
    <col min="11062" max="11072" width="5.7109375" style="1" customWidth="1"/>
    <col min="11073" max="11073" width="5.42578125" style="1" customWidth="1"/>
    <col min="11074" max="11076" width="5.7109375" style="1" customWidth="1"/>
    <col min="11077" max="11077" width="7.28515625" style="1" customWidth="1"/>
    <col min="11078" max="11078" width="6.85546875" style="1" customWidth="1"/>
    <col min="11079" max="11091" width="5.7109375" style="1" customWidth="1"/>
    <col min="11092" max="11092" width="6.7109375" style="1" customWidth="1"/>
    <col min="11093" max="11093" width="7" style="1" customWidth="1"/>
    <col min="11094" max="11094" width="6.5703125" style="1" customWidth="1"/>
    <col min="11095" max="11095" width="18.42578125" style="1" customWidth="1"/>
    <col min="11096" max="11266" width="8.42578125" style="1"/>
    <col min="11267" max="11267" width="10.5703125" style="1" customWidth="1"/>
    <col min="11268" max="11268" width="18.5703125" style="1" customWidth="1"/>
    <col min="11269" max="11269" width="10" style="1" customWidth="1"/>
    <col min="11270" max="11270" width="10.42578125" style="1" customWidth="1"/>
    <col min="11271" max="11275" width="8.7109375" style="1" customWidth="1"/>
    <col min="11276" max="11276" width="9.85546875" style="1" customWidth="1"/>
    <col min="11277" max="11277" width="8.7109375" style="1" customWidth="1"/>
    <col min="11278" max="11278" width="18" style="1" customWidth="1"/>
    <col min="11279" max="11279" width="6" style="1" customWidth="1"/>
    <col min="11280" max="11281" width="5.42578125" style="1" customWidth="1"/>
    <col min="11282" max="11282" width="5.5703125" style="1" customWidth="1"/>
    <col min="11283" max="11283" width="5.140625" style="1" customWidth="1"/>
    <col min="11284" max="11284" width="5.42578125" style="1" customWidth="1"/>
    <col min="11285" max="11286" width="5.140625" style="1" customWidth="1"/>
    <col min="11287" max="11287" width="5.42578125" style="1" customWidth="1"/>
    <col min="11288" max="11288" width="5.140625" style="1" customWidth="1"/>
    <col min="11289" max="11289" width="5" style="1" customWidth="1"/>
    <col min="11290" max="11290" width="5.42578125" style="1" customWidth="1"/>
    <col min="11291" max="11291" width="9.42578125" style="1" customWidth="1"/>
    <col min="11292" max="11292" width="6.85546875" style="1" customWidth="1"/>
    <col min="11293" max="11293" width="6.140625" style="1" customWidth="1"/>
    <col min="11294" max="11294" width="18.42578125" style="1" customWidth="1"/>
    <col min="11295" max="11312" width="5.7109375" style="1" customWidth="1"/>
    <col min="11313" max="11313" width="8.42578125" style="1" bestFit="1" customWidth="1"/>
    <col min="11314" max="11314" width="7" style="1" customWidth="1"/>
    <col min="11315" max="11316" width="5.7109375" style="1" customWidth="1"/>
    <col min="11317" max="11317" width="19.28515625" style="1" customWidth="1"/>
    <col min="11318" max="11328" width="5.7109375" style="1" customWidth="1"/>
    <col min="11329" max="11329" width="5.42578125" style="1" customWidth="1"/>
    <col min="11330" max="11332" width="5.7109375" style="1" customWidth="1"/>
    <col min="11333" max="11333" width="7.28515625" style="1" customWidth="1"/>
    <col min="11334" max="11334" width="6.85546875" style="1" customWidth="1"/>
    <col min="11335" max="11347" width="5.7109375" style="1" customWidth="1"/>
    <col min="11348" max="11348" width="6.7109375" style="1" customWidth="1"/>
    <col min="11349" max="11349" width="7" style="1" customWidth="1"/>
    <col min="11350" max="11350" width="6.5703125" style="1" customWidth="1"/>
    <col min="11351" max="11351" width="18.42578125" style="1" customWidth="1"/>
    <col min="11352" max="11522" width="8.42578125" style="1"/>
    <col min="11523" max="11523" width="10.5703125" style="1" customWidth="1"/>
    <col min="11524" max="11524" width="18.5703125" style="1" customWidth="1"/>
    <col min="11525" max="11525" width="10" style="1" customWidth="1"/>
    <col min="11526" max="11526" width="10.42578125" style="1" customWidth="1"/>
    <col min="11527" max="11531" width="8.7109375" style="1" customWidth="1"/>
    <col min="11532" max="11532" width="9.85546875" style="1" customWidth="1"/>
    <col min="11533" max="11533" width="8.7109375" style="1" customWidth="1"/>
    <col min="11534" max="11534" width="18" style="1" customWidth="1"/>
    <col min="11535" max="11535" width="6" style="1" customWidth="1"/>
    <col min="11536" max="11537" width="5.42578125" style="1" customWidth="1"/>
    <col min="11538" max="11538" width="5.5703125" style="1" customWidth="1"/>
    <col min="11539" max="11539" width="5.140625" style="1" customWidth="1"/>
    <col min="11540" max="11540" width="5.42578125" style="1" customWidth="1"/>
    <col min="11541" max="11542" width="5.140625" style="1" customWidth="1"/>
    <col min="11543" max="11543" width="5.42578125" style="1" customWidth="1"/>
    <col min="11544" max="11544" width="5.140625" style="1" customWidth="1"/>
    <col min="11545" max="11545" width="5" style="1" customWidth="1"/>
    <col min="11546" max="11546" width="5.42578125" style="1" customWidth="1"/>
    <col min="11547" max="11547" width="9.42578125" style="1" customWidth="1"/>
    <col min="11548" max="11548" width="6.85546875" style="1" customWidth="1"/>
    <col min="11549" max="11549" width="6.140625" style="1" customWidth="1"/>
    <col min="11550" max="11550" width="18.42578125" style="1" customWidth="1"/>
    <col min="11551" max="11568" width="5.7109375" style="1" customWidth="1"/>
    <col min="11569" max="11569" width="8.42578125" style="1" bestFit="1" customWidth="1"/>
    <col min="11570" max="11570" width="7" style="1" customWidth="1"/>
    <col min="11571" max="11572" width="5.7109375" style="1" customWidth="1"/>
    <col min="11573" max="11573" width="19.28515625" style="1" customWidth="1"/>
    <col min="11574" max="11584" width="5.7109375" style="1" customWidth="1"/>
    <col min="11585" max="11585" width="5.42578125" style="1" customWidth="1"/>
    <col min="11586" max="11588" width="5.7109375" style="1" customWidth="1"/>
    <col min="11589" max="11589" width="7.28515625" style="1" customWidth="1"/>
    <col min="11590" max="11590" width="6.85546875" style="1" customWidth="1"/>
    <col min="11591" max="11603" width="5.7109375" style="1" customWidth="1"/>
    <col min="11604" max="11604" width="6.7109375" style="1" customWidth="1"/>
    <col min="11605" max="11605" width="7" style="1" customWidth="1"/>
    <col min="11606" max="11606" width="6.5703125" style="1" customWidth="1"/>
    <col min="11607" max="11607" width="18.42578125" style="1" customWidth="1"/>
    <col min="11608" max="11778" width="8.42578125" style="1"/>
    <col min="11779" max="11779" width="10.5703125" style="1" customWidth="1"/>
    <col min="11780" max="11780" width="18.5703125" style="1" customWidth="1"/>
    <col min="11781" max="11781" width="10" style="1" customWidth="1"/>
    <col min="11782" max="11782" width="10.42578125" style="1" customWidth="1"/>
    <col min="11783" max="11787" width="8.7109375" style="1" customWidth="1"/>
    <col min="11788" max="11788" width="9.85546875" style="1" customWidth="1"/>
    <col min="11789" max="11789" width="8.7109375" style="1" customWidth="1"/>
    <col min="11790" max="11790" width="18" style="1" customWidth="1"/>
    <col min="11791" max="11791" width="6" style="1" customWidth="1"/>
    <col min="11792" max="11793" width="5.42578125" style="1" customWidth="1"/>
    <col min="11794" max="11794" width="5.5703125" style="1" customWidth="1"/>
    <col min="11795" max="11795" width="5.140625" style="1" customWidth="1"/>
    <col min="11796" max="11796" width="5.42578125" style="1" customWidth="1"/>
    <col min="11797" max="11798" width="5.140625" style="1" customWidth="1"/>
    <col min="11799" max="11799" width="5.42578125" style="1" customWidth="1"/>
    <col min="11800" max="11800" width="5.140625" style="1" customWidth="1"/>
    <col min="11801" max="11801" width="5" style="1" customWidth="1"/>
    <col min="11802" max="11802" width="5.42578125" style="1" customWidth="1"/>
    <col min="11803" max="11803" width="9.42578125" style="1" customWidth="1"/>
    <col min="11804" max="11804" width="6.85546875" style="1" customWidth="1"/>
    <col min="11805" max="11805" width="6.140625" style="1" customWidth="1"/>
    <col min="11806" max="11806" width="18.42578125" style="1" customWidth="1"/>
    <col min="11807" max="11824" width="5.7109375" style="1" customWidth="1"/>
    <col min="11825" max="11825" width="8.42578125" style="1" bestFit="1" customWidth="1"/>
    <col min="11826" max="11826" width="7" style="1" customWidth="1"/>
    <col min="11827" max="11828" width="5.7109375" style="1" customWidth="1"/>
    <col min="11829" max="11829" width="19.28515625" style="1" customWidth="1"/>
    <col min="11830" max="11840" width="5.7109375" style="1" customWidth="1"/>
    <col min="11841" max="11841" width="5.42578125" style="1" customWidth="1"/>
    <col min="11842" max="11844" width="5.7109375" style="1" customWidth="1"/>
    <col min="11845" max="11845" width="7.28515625" style="1" customWidth="1"/>
    <col min="11846" max="11846" width="6.85546875" style="1" customWidth="1"/>
    <col min="11847" max="11859" width="5.7109375" style="1" customWidth="1"/>
    <col min="11860" max="11860" width="6.7109375" style="1" customWidth="1"/>
    <col min="11861" max="11861" width="7" style="1" customWidth="1"/>
    <col min="11862" max="11862" width="6.5703125" style="1" customWidth="1"/>
    <col min="11863" max="11863" width="18.42578125" style="1" customWidth="1"/>
    <col min="11864" max="12034" width="8.42578125" style="1"/>
    <col min="12035" max="12035" width="10.5703125" style="1" customWidth="1"/>
    <col min="12036" max="12036" width="18.5703125" style="1" customWidth="1"/>
    <col min="12037" max="12037" width="10" style="1" customWidth="1"/>
    <col min="12038" max="12038" width="10.42578125" style="1" customWidth="1"/>
    <col min="12039" max="12043" width="8.7109375" style="1" customWidth="1"/>
    <col min="12044" max="12044" width="9.85546875" style="1" customWidth="1"/>
    <col min="12045" max="12045" width="8.7109375" style="1" customWidth="1"/>
    <col min="12046" max="12046" width="18" style="1" customWidth="1"/>
    <col min="12047" max="12047" width="6" style="1" customWidth="1"/>
    <col min="12048" max="12049" width="5.42578125" style="1" customWidth="1"/>
    <col min="12050" max="12050" width="5.5703125" style="1" customWidth="1"/>
    <col min="12051" max="12051" width="5.140625" style="1" customWidth="1"/>
    <col min="12052" max="12052" width="5.42578125" style="1" customWidth="1"/>
    <col min="12053" max="12054" width="5.140625" style="1" customWidth="1"/>
    <col min="12055" max="12055" width="5.42578125" style="1" customWidth="1"/>
    <col min="12056" max="12056" width="5.140625" style="1" customWidth="1"/>
    <col min="12057" max="12057" width="5" style="1" customWidth="1"/>
    <col min="12058" max="12058" width="5.42578125" style="1" customWidth="1"/>
    <col min="12059" max="12059" width="9.42578125" style="1" customWidth="1"/>
    <col min="12060" max="12060" width="6.85546875" style="1" customWidth="1"/>
    <col min="12061" max="12061" width="6.140625" style="1" customWidth="1"/>
    <col min="12062" max="12062" width="18.42578125" style="1" customWidth="1"/>
    <col min="12063" max="12080" width="5.7109375" style="1" customWidth="1"/>
    <col min="12081" max="12081" width="8.42578125" style="1" bestFit="1" customWidth="1"/>
    <col min="12082" max="12082" width="7" style="1" customWidth="1"/>
    <col min="12083" max="12084" width="5.7109375" style="1" customWidth="1"/>
    <col min="12085" max="12085" width="19.28515625" style="1" customWidth="1"/>
    <col min="12086" max="12096" width="5.7109375" style="1" customWidth="1"/>
    <col min="12097" max="12097" width="5.42578125" style="1" customWidth="1"/>
    <col min="12098" max="12100" width="5.7109375" style="1" customWidth="1"/>
    <col min="12101" max="12101" width="7.28515625" style="1" customWidth="1"/>
    <col min="12102" max="12102" width="6.85546875" style="1" customWidth="1"/>
    <col min="12103" max="12115" width="5.7109375" style="1" customWidth="1"/>
    <col min="12116" max="12116" width="6.7109375" style="1" customWidth="1"/>
    <col min="12117" max="12117" width="7" style="1" customWidth="1"/>
    <col min="12118" max="12118" width="6.5703125" style="1" customWidth="1"/>
    <col min="12119" max="12119" width="18.42578125" style="1" customWidth="1"/>
    <col min="12120" max="12290" width="8.42578125" style="1"/>
    <col min="12291" max="12291" width="10.5703125" style="1" customWidth="1"/>
    <col min="12292" max="12292" width="18.5703125" style="1" customWidth="1"/>
    <col min="12293" max="12293" width="10" style="1" customWidth="1"/>
    <col min="12294" max="12294" width="10.42578125" style="1" customWidth="1"/>
    <col min="12295" max="12299" width="8.7109375" style="1" customWidth="1"/>
    <col min="12300" max="12300" width="9.85546875" style="1" customWidth="1"/>
    <col min="12301" max="12301" width="8.7109375" style="1" customWidth="1"/>
    <col min="12302" max="12302" width="18" style="1" customWidth="1"/>
    <col min="12303" max="12303" width="6" style="1" customWidth="1"/>
    <col min="12304" max="12305" width="5.42578125" style="1" customWidth="1"/>
    <col min="12306" max="12306" width="5.5703125" style="1" customWidth="1"/>
    <col min="12307" max="12307" width="5.140625" style="1" customWidth="1"/>
    <col min="12308" max="12308" width="5.42578125" style="1" customWidth="1"/>
    <col min="12309" max="12310" width="5.140625" style="1" customWidth="1"/>
    <col min="12311" max="12311" width="5.42578125" style="1" customWidth="1"/>
    <col min="12312" max="12312" width="5.140625" style="1" customWidth="1"/>
    <col min="12313" max="12313" width="5" style="1" customWidth="1"/>
    <col min="12314" max="12314" width="5.42578125" style="1" customWidth="1"/>
    <col min="12315" max="12315" width="9.42578125" style="1" customWidth="1"/>
    <col min="12316" max="12316" width="6.85546875" style="1" customWidth="1"/>
    <col min="12317" max="12317" width="6.140625" style="1" customWidth="1"/>
    <col min="12318" max="12318" width="18.42578125" style="1" customWidth="1"/>
    <col min="12319" max="12336" width="5.7109375" style="1" customWidth="1"/>
    <col min="12337" max="12337" width="8.42578125" style="1" bestFit="1" customWidth="1"/>
    <col min="12338" max="12338" width="7" style="1" customWidth="1"/>
    <col min="12339" max="12340" width="5.7109375" style="1" customWidth="1"/>
    <col min="12341" max="12341" width="19.28515625" style="1" customWidth="1"/>
    <col min="12342" max="12352" width="5.7109375" style="1" customWidth="1"/>
    <col min="12353" max="12353" width="5.42578125" style="1" customWidth="1"/>
    <col min="12354" max="12356" width="5.7109375" style="1" customWidth="1"/>
    <col min="12357" max="12357" width="7.28515625" style="1" customWidth="1"/>
    <col min="12358" max="12358" width="6.85546875" style="1" customWidth="1"/>
    <col min="12359" max="12371" width="5.7109375" style="1" customWidth="1"/>
    <col min="12372" max="12372" width="6.7109375" style="1" customWidth="1"/>
    <col min="12373" max="12373" width="7" style="1" customWidth="1"/>
    <col min="12374" max="12374" width="6.5703125" style="1" customWidth="1"/>
    <col min="12375" max="12375" width="18.42578125" style="1" customWidth="1"/>
    <col min="12376" max="12546" width="8.42578125" style="1"/>
    <col min="12547" max="12547" width="10.5703125" style="1" customWidth="1"/>
    <col min="12548" max="12548" width="18.5703125" style="1" customWidth="1"/>
    <col min="12549" max="12549" width="10" style="1" customWidth="1"/>
    <col min="12550" max="12550" width="10.42578125" style="1" customWidth="1"/>
    <col min="12551" max="12555" width="8.7109375" style="1" customWidth="1"/>
    <col min="12556" max="12556" width="9.85546875" style="1" customWidth="1"/>
    <col min="12557" max="12557" width="8.7109375" style="1" customWidth="1"/>
    <col min="12558" max="12558" width="18" style="1" customWidth="1"/>
    <col min="12559" max="12559" width="6" style="1" customWidth="1"/>
    <col min="12560" max="12561" width="5.42578125" style="1" customWidth="1"/>
    <col min="12562" max="12562" width="5.5703125" style="1" customWidth="1"/>
    <col min="12563" max="12563" width="5.140625" style="1" customWidth="1"/>
    <col min="12564" max="12564" width="5.42578125" style="1" customWidth="1"/>
    <col min="12565" max="12566" width="5.140625" style="1" customWidth="1"/>
    <col min="12567" max="12567" width="5.42578125" style="1" customWidth="1"/>
    <col min="12568" max="12568" width="5.140625" style="1" customWidth="1"/>
    <col min="12569" max="12569" width="5" style="1" customWidth="1"/>
    <col min="12570" max="12570" width="5.42578125" style="1" customWidth="1"/>
    <col min="12571" max="12571" width="9.42578125" style="1" customWidth="1"/>
    <col min="12572" max="12572" width="6.85546875" style="1" customWidth="1"/>
    <col min="12573" max="12573" width="6.140625" style="1" customWidth="1"/>
    <col min="12574" max="12574" width="18.42578125" style="1" customWidth="1"/>
    <col min="12575" max="12592" width="5.7109375" style="1" customWidth="1"/>
    <col min="12593" max="12593" width="8.42578125" style="1" bestFit="1" customWidth="1"/>
    <col min="12594" max="12594" width="7" style="1" customWidth="1"/>
    <col min="12595" max="12596" width="5.7109375" style="1" customWidth="1"/>
    <col min="12597" max="12597" width="19.28515625" style="1" customWidth="1"/>
    <col min="12598" max="12608" width="5.7109375" style="1" customWidth="1"/>
    <col min="12609" max="12609" width="5.42578125" style="1" customWidth="1"/>
    <col min="12610" max="12612" width="5.7109375" style="1" customWidth="1"/>
    <col min="12613" max="12613" width="7.28515625" style="1" customWidth="1"/>
    <col min="12614" max="12614" width="6.85546875" style="1" customWidth="1"/>
    <col min="12615" max="12627" width="5.7109375" style="1" customWidth="1"/>
    <col min="12628" max="12628" width="6.7109375" style="1" customWidth="1"/>
    <col min="12629" max="12629" width="7" style="1" customWidth="1"/>
    <col min="12630" max="12630" width="6.5703125" style="1" customWidth="1"/>
    <col min="12631" max="12631" width="18.42578125" style="1" customWidth="1"/>
    <col min="12632" max="12802" width="8.42578125" style="1"/>
    <col min="12803" max="12803" width="10.5703125" style="1" customWidth="1"/>
    <col min="12804" max="12804" width="18.5703125" style="1" customWidth="1"/>
    <col min="12805" max="12805" width="10" style="1" customWidth="1"/>
    <col min="12806" max="12806" width="10.42578125" style="1" customWidth="1"/>
    <col min="12807" max="12811" width="8.7109375" style="1" customWidth="1"/>
    <col min="12812" max="12812" width="9.85546875" style="1" customWidth="1"/>
    <col min="12813" max="12813" width="8.7109375" style="1" customWidth="1"/>
    <col min="12814" max="12814" width="18" style="1" customWidth="1"/>
    <col min="12815" max="12815" width="6" style="1" customWidth="1"/>
    <col min="12816" max="12817" width="5.42578125" style="1" customWidth="1"/>
    <col min="12818" max="12818" width="5.5703125" style="1" customWidth="1"/>
    <col min="12819" max="12819" width="5.140625" style="1" customWidth="1"/>
    <col min="12820" max="12820" width="5.42578125" style="1" customWidth="1"/>
    <col min="12821" max="12822" width="5.140625" style="1" customWidth="1"/>
    <col min="12823" max="12823" width="5.42578125" style="1" customWidth="1"/>
    <col min="12824" max="12824" width="5.140625" style="1" customWidth="1"/>
    <col min="12825" max="12825" width="5" style="1" customWidth="1"/>
    <col min="12826" max="12826" width="5.42578125" style="1" customWidth="1"/>
    <col min="12827" max="12827" width="9.42578125" style="1" customWidth="1"/>
    <col min="12828" max="12828" width="6.85546875" style="1" customWidth="1"/>
    <col min="12829" max="12829" width="6.140625" style="1" customWidth="1"/>
    <col min="12830" max="12830" width="18.42578125" style="1" customWidth="1"/>
    <col min="12831" max="12848" width="5.7109375" style="1" customWidth="1"/>
    <col min="12849" max="12849" width="8.42578125" style="1" bestFit="1" customWidth="1"/>
    <col min="12850" max="12850" width="7" style="1" customWidth="1"/>
    <col min="12851" max="12852" width="5.7109375" style="1" customWidth="1"/>
    <col min="12853" max="12853" width="19.28515625" style="1" customWidth="1"/>
    <col min="12854" max="12864" width="5.7109375" style="1" customWidth="1"/>
    <col min="12865" max="12865" width="5.42578125" style="1" customWidth="1"/>
    <col min="12866" max="12868" width="5.7109375" style="1" customWidth="1"/>
    <col min="12869" max="12869" width="7.28515625" style="1" customWidth="1"/>
    <col min="12870" max="12870" width="6.85546875" style="1" customWidth="1"/>
    <col min="12871" max="12883" width="5.7109375" style="1" customWidth="1"/>
    <col min="12884" max="12884" width="6.7109375" style="1" customWidth="1"/>
    <col min="12885" max="12885" width="7" style="1" customWidth="1"/>
    <col min="12886" max="12886" width="6.5703125" style="1" customWidth="1"/>
    <col min="12887" max="12887" width="18.42578125" style="1" customWidth="1"/>
    <col min="12888" max="13058" width="8.42578125" style="1"/>
    <col min="13059" max="13059" width="10.5703125" style="1" customWidth="1"/>
    <col min="13060" max="13060" width="18.5703125" style="1" customWidth="1"/>
    <col min="13061" max="13061" width="10" style="1" customWidth="1"/>
    <col min="13062" max="13062" width="10.42578125" style="1" customWidth="1"/>
    <col min="13063" max="13067" width="8.7109375" style="1" customWidth="1"/>
    <col min="13068" max="13068" width="9.85546875" style="1" customWidth="1"/>
    <col min="13069" max="13069" width="8.7109375" style="1" customWidth="1"/>
    <col min="13070" max="13070" width="18" style="1" customWidth="1"/>
    <col min="13071" max="13071" width="6" style="1" customWidth="1"/>
    <col min="13072" max="13073" width="5.42578125" style="1" customWidth="1"/>
    <col min="13074" max="13074" width="5.5703125" style="1" customWidth="1"/>
    <col min="13075" max="13075" width="5.140625" style="1" customWidth="1"/>
    <col min="13076" max="13076" width="5.42578125" style="1" customWidth="1"/>
    <col min="13077" max="13078" width="5.140625" style="1" customWidth="1"/>
    <col min="13079" max="13079" width="5.42578125" style="1" customWidth="1"/>
    <col min="13080" max="13080" width="5.140625" style="1" customWidth="1"/>
    <col min="13081" max="13081" width="5" style="1" customWidth="1"/>
    <col min="13082" max="13082" width="5.42578125" style="1" customWidth="1"/>
    <col min="13083" max="13083" width="9.42578125" style="1" customWidth="1"/>
    <col min="13084" max="13084" width="6.85546875" style="1" customWidth="1"/>
    <col min="13085" max="13085" width="6.140625" style="1" customWidth="1"/>
    <col min="13086" max="13086" width="18.42578125" style="1" customWidth="1"/>
    <col min="13087" max="13104" width="5.7109375" style="1" customWidth="1"/>
    <col min="13105" max="13105" width="8.42578125" style="1" bestFit="1" customWidth="1"/>
    <col min="13106" max="13106" width="7" style="1" customWidth="1"/>
    <col min="13107" max="13108" width="5.7109375" style="1" customWidth="1"/>
    <col min="13109" max="13109" width="19.28515625" style="1" customWidth="1"/>
    <col min="13110" max="13120" width="5.7109375" style="1" customWidth="1"/>
    <col min="13121" max="13121" width="5.42578125" style="1" customWidth="1"/>
    <col min="13122" max="13124" width="5.7109375" style="1" customWidth="1"/>
    <col min="13125" max="13125" width="7.28515625" style="1" customWidth="1"/>
    <col min="13126" max="13126" width="6.85546875" style="1" customWidth="1"/>
    <col min="13127" max="13139" width="5.7109375" style="1" customWidth="1"/>
    <col min="13140" max="13140" width="6.7109375" style="1" customWidth="1"/>
    <col min="13141" max="13141" width="7" style="1" customWidth="1"/>
    <col min="13142" max="13142" width="6.5703125" style="1" customWidth="1"/>
    <col min="13143" max="13143" width="18.42578125" style="1" customWidth="1"/>
    <col min="13144" max="13314" width="8.42578125" style="1"/>
    <col min="13315" max="13315" width="10.5703125" style="1" customWidth="1"/>
    <col min="13316" max="13316" width="18.5703125" style="1" customWidth="1"/>
    <col min="13317" max="13317" width="10" style="1" customWidth="1"/>
    <col min="13318" max="13318" width="10.42578125" style="1" customWidth="1"/>
    <col min="13319" max="13323" width="8.7109375" style="1" customWidth="1"/>
    <col min="13324" max="13324" width="9.85546875" style="1" customWidth="1"/>
    <col min="13325" max="13325" width="8.7109375" style="1" customWidth="1"/>
    <col min="13326" max="13326" width="18" style="1" customWidth="1"/>
    <col min="13327" max="13327" width="6" style="1" customWidth="1"/>
    <col min="13328" max="13329" width="5.42578125" style="1" customWidth="1"/>
    <col min="13330" max="13330" width="5.5703125" style="1" customWidth="1"/>
    <col min="13331" max="13331" width="5.140625" style="1" customWidth="1"/>
    <col min="13332" max="13332" width="5.42578125" style="1" customWidth="1"/>
    <col min="13333" max="13334" width="5.140625" style="1" customWidth="1"/>
    <col min="13335" max="13335" width="5.42578125" style="1" customWidth="1"/>
    <col min="13336" max="13336" width="5.140625" style="1" customWidth="1"/>
    <col min="13337" max="13337" width="5" style="1" customWidth="1"/>
    <col min="13338" max="13338" width="5.42578125" style="1" customWidth="1"/>
    <col min="13339" max="13339" width="9.42578125" style="1" customWidth="1"/>
    <col min="13340" max="13340" width="6.85546875" style="1" customWidth="1"/>
    <col min="13341" max="13341" width="6.140625" style="1" customWidth="1"/>
    <col min="13342" max="13342" width="18.42578125" style="1" customWidth="1"/>
    <col min="13343" max="13360" width="5.7109375" style="1" customWidth="1"/>
    <col min="13361" max="13361" width="8.42578125" style="1" bestFit="1" customWidth="1"/>
    <col min="13362" max="13362" width="7" style="1" customWidth="1"/>
    <col min="13363" max="13364" width="5.7109375" style="1" customWidth="1"/>
    <col min="13365" max="13365" width="19.28515625" style="1" customWidth="1"/>
    <col min="13366" max="13376" width="5.7109375" style="1" customWidth="1"/>
    <col min="13377" max="13377" width="5.42578125" style="1" customWidth="1"/>
    <col min="13378" max="13380" width="5.7109375" style="1" customWidth="1"/>
    <col min="13381" max="13381" width="7.28515625" style="1" customWidth="1"/>
    <col min="13382" max="13382" width="6.85546875" style="1" customWidth="1"/>
    <col min="13383" max="13395" width="5.7109375" style="1" customWidth="1"/>
    <col min="13396" max="13396" width="6.7109375" style="1" customWidth="1"/>
    <col min="13397" max="13397" width="7" style="1" customWidth="1"/>
    <col min="13398" max="13398" width="6.5703125" style="1" customWidth="1"/>
    <col min="13399" max="13399" width="18.42578125" style="1" customWidth="1"/>
    <col min="13400" max="13570" width="8.42578125" style="1"/>
    <col min="13571" max="13571" width="10.5703125" style="1" customWidth="1"/>
    <col min="13572" max="13572" width="18.5703125" style="1" customWidth="1"/>
    <col min="13573" max="13573" width="10" style="1" customWidth="1"/>
    <col min="13574" max="13574" width="10.42578125" style="1" customWidth="1"/>
    <col min="13575" max="13579" width="8.7109375" style="1" customWidth="1"/>
    <col min="13580" max="13580" width="9.85546875" style="1" customWidth="1"/>
    <col min="13581" max="13581" width="8.7109375" style="1" customWidth="1"/>
    <col min="13582" max="13582" width="18" style="1" customWidth="1"/>
    <col min="13583" max="13583" width="6" style="1" customWidth="1"/>
    <col min="13584" max="13585" width="5.42578125" style="1" customWidth="1"/>
    <col min="13586" max="13586" width="5.5703125" style="1" customWidth="1"/>
    <col min="13587" max="13587" width="5.140625" style="1" customWidth="1"/>
    <col min="13588" max="13588" width="5.42578125" style="1" customWidth="1"/>
    <col min="13589" max="13590" width="5.140625" style="1" customWidth="1"/>
    <col min="13591" max="13591" width="5.42578125" style="1" customWidth="1"/>
    <col min="13592" max="13592" width="5.140625" style="1" customWidth="1"/>
    <col min="13593" max="13593" width="5" style="1" customWidth="1"/>
    <col min="13594" max="13594" width="5.42578125" style="1" customWidth="1"/>
    <col min="13595" max="13595" width="9.42578125" style="1" customWidth="1"/>
    <col min="13596" max="13596" width="6.85546875" style="1" customWidth="1"/>
    <col min="13597" max="13597" width="6.140625" style="1" customWidth="1"/>
    <col min="13598" max="13598" width="18.42578125" style="1" customWidth="1"/>
    <col min="13599" max="13616" width="5.7109375" style="1" customWidth="1"/>
    <col min="13617" max="13617" width="8.42578125" style="1" bestFit="1" customWidth="1"/>
    <col min="13618" max="13618" width="7" style="1" customWidth="1"/>
    <col min="13619" max="13620" width="5.7109375" style="1" customWidth="1"/>
    <col min="13621" max="13621" width="19.28515625" style="1" customWidth="1"/>
    <col min="13622" max="13632" width="5.7109375" style="1" customWidth="1"/>
    <col min="13633" max="13633" width="5.42578125" style="1" customWidth="1"/>
    <col min="13634" max="13636" width="5.7109375" style="1" customWidth="1"/>
    <col min="13637" max="13637" width="7.28515625" style="1" customWidth="1"/>
    <col min="13638" max="13638" width="6.85546875" style="1" customWidth="1"/>
    <col min="13639" max="13651" width="5.7109375" style="1" customWidth="1"/>
    <col min="13652" max="13652" width="6.7109375" style="1" customWidth="1"/>
    <col min="13653" max="13653" width="7" style="1" customWidth="1"/>
    <col min="13654" max="13654" width="6.5703125" style="1" customWidth="1"/>
    <col min="13655" max="13655" width="18.42578125" style="1" customWidth="1"/>
    <col min="13656" max="13826" width="8.42578125" style="1"/>
    <col min="13827" max="13827" width="10.5703125" style="1" customWidth="1"/>
    <col min="13828" max="13828" width="18.5703125" style="1" customWidth="1"/>
    <col min="13829" max="13829" width="10" style="1" customWidth="1"/>
    <col min="13830" max="13830" width="10.42578125" style="1" customWidth="1"/>
    <col min="13831" max="13835" width="8.7109375" style="1" customWidth="1"/>
    <col min="13836" max="13836" width="9.85546875" style="1" customWidth="1"/>
    <col min="13837" max="13837" width="8.7109375" style="1" customWidth="1"/>
    <col min="13838" max="13838" width="18" style="1" customWidth="1"/>
    <col min="13839" max="13839" width="6" style="1" customWidth="1"/>
    <col min="13840" max="13841" width="5.42578125" style="1" customWidth="1"/>
    <col min="13842" max="13842" width="5.5703125" style="1" customWidth="1"/>
    <col min="13843" max="13843" width="5.140625" style="1" customWidth="1"/>
    <col min="13844" max="13844" width="5.42578125" style="1" customWidth="1"/>
    <col min="13845" max="13846" width="5.140625" style="1" customWidth="1"/>
    <col min="13847" max="13847" width="5.42578125" style="1" customWidth="1"/>
    <col min="13848" max="13848" width="5.140625" style="1" customWidth="1"/>
    <col min="13849" max="13849" width="5" style="1" customWidth="1"/>
    <col min="13850" max="13850" width="5.42578125" style="1" customWidth="1"/>
    <col min="13851" max="13851" width="9.42578125" style="1" customWidth="1"/>
    <col min="13852" max="13852" width="6.85546875" style="1" customWidth="1"/>
    <col min="13853" max="13853" width="6.140625" style="1" customWidth="1"/>
    <col min="13854" max="13854" width="18.42578125" style="1" customWidth="1"/>
    <col min="13855" max="13872" width="5.7109375" style="1" customWidth="1"/>
    <col min="13873" max="13873" width="8.42578125" style="1" bestFit="1" customWidth="1"/>
    <col min="13874" max="13874" width="7" style="1" customWidth="1"/>
    <col min="13875" max="13876" width="5.7109375" style="1" customWidth="1"/>
    <col min="13877" max="13877" width="19.28515625" style="1" customWidth="1"/>
    <col min="13878" max="13888" width="5.7109375" style="1" customWidth="1"/>
    <col min="13889" max="13889" width="5.42578125" style="1" customWidth="1"/>
    <col min="13890" max="13892" width="5.7109375" style="1" customWidth="1"/>
    <col min="13893" max="13893" width="7.28515625" style="1" customWidth="1"/>
    <col min="13894" max="13894" width="6.85546875" style="1" customWidth="1"/>
    <col min="13895" max="13907" width="5.7109375" style="1" customWidth="1"/>
    <col min="13908" max="13908" width="6.7109375" style="1" customWidth="1"/>
    <col min="13909" max="13909" width="7" style="1" customWidth="1"/>
    <col min="13910" max="13910" width="6.5703125" style="1" customWidth="1"/>
    <col min="13911" max="13911" width="18.42578125" style="1" customWidth="1"/>
    <col min="13912" max="14082" width="8.42578125" style="1"/>
    <col min="14083" max="14083" width="10.5703125" style="1" customWidth="1"/>
    <col min="14084" max="14084" width="18.5703125" style="1" customWidth="1"/>
    <col min="14085" max="14085" width="10" style="1" customWidth="1"/>
    <col min="14086" max="14086" width="10.42578125" style="1" customWidth="1"/>
    <col min="14087" max="14091" width="8.7109375" style="1" customWidth="1"/>
    <col min="14092" max="14092" width="9.85546875" style="1" customWidth="1"/>
    <col min="14093" max="14093" width="8.7109375" style="1" customWidth="1"/>
    <col min="14094" max="14094" width="18" style="1" customWidth="1"/>
    <col min="14095" max="14095" width="6" style="1" customWidth="1"/>
    <col min="14096" max="14097" width="5.42578125" style="1" customWidth="1"/>
    <col min="14098" max="14098" width="5.5703125" style="1" customWidth="1"/>
    <col min="14099" max="14099" width="5.140625" style="1" customWidth="1"/>
    <col min="14100" max="14100" width="5.42578125" style="1" customWidth="1"/>
    <col min="14101" max="14102" width="5.140625" style="1" customWidth="1"/>
    <col min="14103" max="14103" width="5.42578125" style="1" customWidth="1"/>
    <col min="14104" max="14104" width="5.140625" style="1" customWidth="1"/>
    <col min="14105" max="14105" width="5" style="1" customWidth="1"/>
    <col min="14106" max="14106" width="5.42578125" style="1" customWidth="1"/>
    <col min="14107" max="14107" width="9.42578125" style="1" customWidth="1"/>
    <col min="14108" max="14108" width="6.85546875" style="1" customWidth="1"/>
    <col min="14109" max="14109" width="6.140625" style="1" customWidth="1"/>
    <col min="14110" max="14110" width="18.42578125" style="1" customWidth="1"/>
    <col min="14111" max="14128" width="5.7109375" style="1" customWidth="1"/>
    <col min="14129" max="14129" width="8.42578125" style="1" bestFit="1" customWidth="1"/>
    <col min="14130" max="14130" width="7" style="1" customWidth="1"/>
    <col min="14131" max="14132" width="5.7109375" style="1" customWidth="1"/>
    <col min="14133" max="14133" width="19.28515625" style="1" customWidth="1"/>
    <col min="14134" max="14144" width="5.7109375" style="1" customWidth="1"/>
    <col min="14145" max="14145" width="5.42578125" style="1" customWidth="1"/>
    <col min="14146" max="14148" width="5.7109375" style="1" customWidth="1"/>
    <col min="14149" max="14149" width="7.28515625" style="1" customWidth="1"/>
    <col min="14150" max="14150" width="6.85546875" style="1" customWidth="1"/>
    <col min="14151" max="14163" width="5.7109375" style="1" customWidth="1"/>
    <col min="14164" max="14164" width="6.7109375" style="1" customWidth="1"/>
    <col min="14165" max="14165" width="7" style="1" customWidth="1"/>
    <col min="14166" max="14166" width="6.5703125" style="1" customWidth="1"/>
    <col min="14167" max="14167" width="18.42578125" style="1" customWidth="1"/>
    <col min="14168" max="14338" width="8.42578125" style="1"/>
    <col min="14339" max="14339" width="10.5703125" style="1" customWidth="1"/>
    <col min="14340" max="14340" width="18.5703125" style="1" customWidth="1"/>
    <col min="14341" max="14341" width="10" style="1" customWidth="1"/>
    <col min="14342" max="14342" width="10.42578125" style="1" customWidth="1"/>
    <col min="14343" max="14347" width="8.7109375" style="1" customWidth="1"/>
    <col min="14348" max="14348" width="9.85546875" style="1" customWidth="1"/>
    <col min="14349" max="14349" width="8.7109375" style="1" customWidth="1"/>
    <col min="14350" max="14350" width="18" style="1" customWidth="1"/>
    <col min="14351" max="14351" width="6" style="1" customWidth="1"/>
    <col min="14352" max="14353" width="5.42578125" style="1" customWidth="1"/>
    <col min="14354" max="14354" width="5.5703125" style="1" customWidth="1"/>
    <col min="14355" max="14355" width="5.140625" style="1" customWidth="1"/>
    <col min="14356" max="14356" width="5.42578125" style="1" customWidth="1"/>
    <col min="14357" max="14358" width="5.140625" style="1" customWidth="1"/>
    <col min="14359" max="14359" width="5.42578125" style="1" customWidth="1"/>
    <col min="14360" max="14360" width="5.140625" style="1" customWidth="1"/>
    <col min="14361" max="14361" width="5" style="1" customWidth="1"/>
    <col min="14362" max="14362" width="5.42578125" style="1" customWidth="1"/>
    <col min="14363" max="14363" width="9.42578125" style="1" customWidth="1"/>
    <col min="14364" max="14364" width="6.85546875" style="1" customWidth="1"/>
    <col min="14365" max="14365" width="6.140625" style="1" customWidth="1"/>
    <col min="14366" max="14366" width="18.42578125" style="1" customWidth="1"/>
    <col min="14367" max="14384" width="5.7109375" style="1" customWidth="1"/>
    <col min="14385" max="14385" width="8.42578125" style="1" bestFit="1" customWidth="1"/>
    <col min="14386" max="14386" width="7" style="1" customWidth="1"/>
    <col min="14387" max="14388" width="5.7109375" style="1" customWidth="1"/>
    <col min="14389" max="14389" width="19.28515625" style="1" customWidth="1"/>
    <col min="14390" max="14400" width="5.7109375" style="1" customWidth="1"/>
    <col min="14401" max="14401" width="5.42578125" style="1" customWidth="1"/>
    <col min="14402" max="14404" width="5.7109375" style="1" customWidth="1"/>
    <col min="14405" max="14405" width="7.28515625" style="1" customWidth="1"/>
    <col min="14406" max="14406" width="6.85546875" style="1" customWidth="1"/>
    <col min="14407" max="14419" width="5.7109375" style="1" customWidth="1"/>
    <col min="14420" max="14420" width="6.7109375" style="1" customWidth="1"/>
    <col min="14421" max="14421" width="7" style="1" customWidth="1"/>
    <col min="14422" max="14422" width="6.5703125" style="1" customWidth="1"/>
    <col min="14423" max="14423" width="18.42578125" style="1" customWidth="1"/>
    <col min="14424" max="14594" width="8.42578125" style="1"/>
    <col min="14595" max="14595" width="10.5703125" style="1" customWidth="1"/>
    <col min="14596" max="14596" width="18.5703125" style="1" customWidth="1"/>
    <col min="14597" max="14597" width="10" style="1" customWidth="1"/>
    <col min="14598" max="14598" width="10.42578125" style="1" customWidth="1"/>
    <col min="14599" max="14603" width="8.7109375" style="1" customWidth="1"/>
    <col min="14604" max="14604" width="9.85546875" style="1" customWidth="1"/>
    <col min="14605" max="14605" width="8.7109375" style="1" customWidth="1"/>
    <col min="14606" max="14606" width="18" style="1" customWidth="1"/>
    <col min="14607" max="14607" width="6" style="1" customWidth="1"/>
    <col min="14608" max="14609" width="5.42578125" style="1" customWidth="1"/>
    <col min="14610" max="14610" width="5.5703125" style="1" customWidth="1"/>
    <col min="14611" max="14611" width="5.140625" style="1" customWidth="1"/>
    <col min="14612" max="14612" width="5.42578125" style="1" customWidth="1"/>
    <col min="14613" max="14614" width="5.140625" style="1" customWidth="1"/>
    <col min="14615" max="14615" width="5.42578125" style="1" customWidth="1"/>
    <col min="14616" max="14616" width="5.140625" style="1" customWidth="1"/>
    <col min="14617" max="14617" width="5" style="1" customWidth="1"/>
    <col min="14618" max="14618" width="5.42578125" style="1" customWidth="1"/>
    <col min="14619" max="14619" width="9.42578125" style="1" customWidth="1"/>
    <col min="14620" max="14620" width="6.85546875" style="1" customWidth="1"/>
    <col min="14621" max="14621" width="6.140625" style="1" customWidth="1"/>
    <col min="14622" max="14622" width="18.42578125" style="1" customWidth="1"/>
    <col min="14623" max="14640" width="5.7109375" style="1" customWidth="1"/>
    <col min="14641" max="14641" width="8.42578125" style="1" bestFit="1" customWidth="1"/>
    <col min="14642" max="14642" width="7" style="1" customWidth="1"/>
    <col min="14643" max="14644" width="5.7109375" style="1" customWidth="1"/>
    <col min="14645" max="14645" width="19.28515625" style="1" customWidth="1"/>
    <col min="14646" max="14656" width="5.7109375" style="1" customWidth="1"/>
    <col min="14657" max="14657" width="5.42578125" style="1" customWidth="1"/>
    <col min="14658" max="14660" width="5.7109375" style="1" customWidth="1"/>
    <col min="14661" max="14661" width="7.28515625" style="1" customWidth="1"/>
    <col min="14662" max="14662" width="6.85546875" style="1" customWidth="1"/>
    <col min="14663" max="14675" width="5.7109375" style="1" customWidth="1"/>
    <col min="14676" max="14676" width="6.7109375" style="1" customWidth="1"/>
    <col min="14677" max="14677" width="7" style="1" customWidth="1"/>
    <col min="14678" max="14678" width="6.5703125" style="1" customWidth="1"/>
    <col min="14679" max="14679" width="18.42578125" style="1" customWidth="1"/>
    <col min="14680" max="14850" width="8.42578125" style="1"/>
    <col min="14851" max="14851" width="10.5703125" style="1" customWidth="1"/>
    <col min="14852" max="14852" width="18.5703125" style="1" customWidth="1"/>
    <col min="14853" max="14853" width="10" style="1" customWidth="1"/>
    <col min="14854" max="14854" width="10.42578125" style="1" customWidth="1"/>
    <col min="14855" max="14859" width="8.7109375" style="1" customWidth="1"/>
    <col min="14860" max="14860" width="9.85546875" style="1" customWidth="1"/>
    <col min="14861" max="14861" width="8.7109375" style="1" customWidth="1"/>
    <col min="14862" max="14862" width="18" style="1" customWidth="1"/>
    <col min="14863" max="14863" width="6" style="1" customWidth="1"/>
    <col min="14864" max="14865" width="5.42578125" style="1" customWidth="1"/>
    <col min="14866" max="14866" width="5.5703125" style="1" customWidth="1"/>
    <col min="14867" max="14867" width="5.140625" style="1" customWidth="1"/>
    <col min="14868" max="14868" width="5.42578125" style="1" customWidth="1"/>
    <col min="14869" max="14870" width="5.140625" style="1" customWidth="1"/>
    <col min="14871" max="14871" width="5.42578125" style="1" customWidth="1"/>
    <col min="14872" max="14872" width="5.140625" style="1" customWidth="1"/>
    <col min="14873" max="14873" width="5" style="1" customWidth="1"/>
    <col min="14874" max="14874" width="5.42578125" style="1" customWidth="1"/>
    <col min="14875" max="14875" width="9.42578125" style="1" customWidth="1"/>
    <col min="14876" max="14876" width="6.85546875" style="1" customWidth="1"/>
    <col min="14877" max="14877" width="6.140625" style="1" customWidth="1"/>
    <col min="14878" max="14878" width="18.42578125" style="1" customWidth="1"/>
    <col min="14879" max="14896" width="5.7109375" style="1" customWidth="1"/>
    <col min="14897" max="14897" width="8.42578125" style="1" bestFit="1" customWidth="1"/>
    <col min="14898" max="14898" width="7" style="1" customWidth="1"/>
    <col min="14899" max="14900" width="5.7109375" style="1" customWidth="1"/>
    <col min="14901" max="14901" width="19.28515625" style="1" customWidth="1"/>
    <col min="14902" max="14912" width="5.7109375" style="1" customWidth="1"/>
    <col min="14913" max="14913" width="5.42578125" style="1" customWidth="1"/>
    <col min="14914" max="14916" width="5.7109375" style="1" customWidth="1"/>
    <col min="14917" max="14917" width="7.28515625" style="1" customWidth="1"/>
    <col min="14918" max="14918" width="6.85546875" style="1" customWidth="1"/>
    <col min="14919" max="14931" width="5.7109375" style="1" customWidth="1"/>
    <col min="14932" max="14932" width="6.7109375" style="1" customWidth="1"/>
    <col min="14933" max="14933" width="7" style="1" customWidth="1"/>
    <col min="14934" max="14934" width="6.5703125" style="1" customWidth="1"/>
    <col min="14935" max="14935" width="18.42578125" style="1" customWidth="1"/>
    <col min="14936" max="15106" width="8.42578125" style="1"/>
    <col min="15107" max="15107" width="10.5703125" style="1" customWidth="1"/>
    <col min="15108" max="15108" width="18.5703125" style="1" customWidth="1"/>
    <col min="15109" max="15109" width="10" style="1" customWidth="1"/>
    <col min="15110" max="15110" width="10.42578125" style="1" customWidth="1"/>
    <col min="15111" max="15115" width="8.7109375" style="1" customWidth="1"/>
    <col min="15116" max="15116" width="9.85546875" style="1" customWidth="1"/>
    <col min="15117" max="15117" width="8.7109375" style="1" customWidth="1"/>
    <col min="15118" max="15118" width="18" style="1" customWidth="1"/>
    <col min="15119" max="15119" width="6" style="1" customWidth="1"/>
    <col min="15120" max="15121" width="5.42578125" style="1" customWidth="1"/>
    <col min="15122" max="15122" width="5.5703125" style="1" customWidth="1"/>
    <col min="15123" max="15123" width="5.140625" style="1" customWidth="1"/>
    <col min="15124" max="15124" width="5.42578125" style="1" customWidth="1"/>
    <col min="15125" max="15126" width="5.140625" style="1" customWidth="1"/>
    <col min="15127" max="15127" width="5.42578125" style="1" customWidth="1"/>
    <col min="15128" max="15128" width="5.140625" style="1" customWidth="1"/>
    <col min="15129" max="15129" width="5" style="1" customWidth="1"/>
    <col min="15130" max="15130" width="5.42578125" style="1" customWidth="1"/>
    <col min="15131" max="15131" width="9.42578125" style="1" customWidth="1"/>
    <col min="15132" max="15132" width="6.85546875" style="1" customWidth="1"/>
    <col min="15133" max="15133" width="6.140625" style="1" customWidth="1"/>
    <col min="15134" max="15134" width="18.42578125" style="1" customWidth="1"/>
    <col min="15135" max="15152" width="5.7109375" style="1" customWidth="1"/>
    <col min="15153" max="15153" width="8.42578125" style="1" bestFit="1" customWidth="1"/>
    <col min="15154" max="15154" width="7" style="1" customWidth="1"/>
    <col min="15155" max="15156" width="5.7109375" style="1" customWidth="1"/>
    <col min="15157" max="15157" width="19.28515625" style="1" customWidth="1"/>
    <col min="15158" max="15168" width="5.7109375" style="1" customWidth="1"/>
    <col min="15169" max="15169" width="5.42578125" style="1" customWidth="1"/>
    <col min="15170" max="15172" width="5.7109375" style="1" customWidth="1"/>
    <col min="15173" max="15173" width="7.28515625" style="1" customWidth="1"/>
    <col min="15174" max="15174" width="6.85546875" style="1" customWidth="1"/>
    <col min="15175" max="15187" width="5.7109375" style="1" customWidth="1"/>
    <col min="15188" max="15188" width="6.7109375" style="1" customWidth="1"/>
    <col min="15189" max="15189" width="7" style="1" customWidth="1"/>
    <col min="15190" max="15190" width="6.5703125" style="1" customWidth="1"/>
    <col min="15191" max="15191" width="18.42578125" style="1" customWidth="1"/>
    <col min="15192" max="15362" width="8.42578125" style="1"/>
    <col min="15363" max="15363" width="10.5703125" style="1" customWidth="1"/>
    <col min="15364" max="15364" width="18.5703125" style="1" customWidth="1"/>
    <col min="15365" max="15365" width="10" style="1" customWidth="1"/>
    <col min="15366" max="15366" width="10.42578125" style="1" customWidth="1"/>
    <col min="15367" max="15371" width="8.7109375" style="1" customWidth="1"/>
    <col min="15372" max="15372" width="9.85546875" style="1" customWidth="1"/>
    <col min="15373" max="15373" width="8.7109375" style="1" customWidth="1"/>
    <col min="15374" max="15374" width="18" style="1" customWidth="1"/>
    <col min="15375" max="15375" width="6" style="1" customWidth="1"/>
    <col min="15376" max="15377" width="5.42578125" style="1" customWidth="1"/>
    <col min="15378" max="15378" width="5.5703125" style="1" customWidth="1"/>
    <col min="15379" max="15379" width="5.140625" style="1" customWidth="1"/>
    <col min="15380" max="15380" width="5.42578125" style="1" customWidth="1"/>
    <col min="15381" max="15382" width="5.140625" style="1" customWidth="1"/>
    <col min="15383" max="15383" width="5.42578125" style="1" customWidth="1"/>
    <col min="15384" max="15384" width="5.140625" style="1" customWidth="1"/>
    <col min="15385" max="15385" width="5" style="1" customWidth="1"/>
    <col min="15386" max="15386" width="5.42578125" style="1" customWidth="1"/>
    <col min="15387" max="15387" width="9.42578125" style="1" customWidth="1"/>
    <col min="15388" max="15388" width="6.85546875" style="1" customWidth="1"/>
    <col min="15389" max="15389" width="6.140625" style="1" customWidth="1"/>
    <col min="15390" max="15390" width="18.42578125" style="1" customWidth="1"/>
    <col min="15391" max="15408" width="5.7109375" style="1" customWidth="1"/>
    <col min="15409" max="15409" width="8.42578125" style="1" bestFit="1" customWidth="1"/>
    <col min="15410" max="15410" width="7" style="1" customWidth="1"/>
    <col min="15411" max="15412" width="5.7109375" style="1" customWidth="1"/>
    <col min="15413" max="15413" width="19.28515625" style="1" customWidth="1"/>
    <col min="15414" max="15424" width="5.7109375" style="1" customWidth="1"/>
    <col min="15425" max="15425" width="5.42578125" style="1" customWidth="1"/>
    <col min="15426" max="15428" width="5.7109375" style="1" customWidth="1"/>
    <col min="15429" max="15429" width="7.28515625" style="1" customWidth="1"/>
    <col min="15430" max="15430" width="6.85546875" style="1" customWidth="1"/>
    <col min="15431" max="15443" width="5.7109375" style="1" customWidth="1"/>
    <col min="15444" max="15444" width="6.7109375" style="1" customWidth="1"/>
    <col min="15445" max="15445" width="7" style="1" customWidth="1"/>
    <col min="15446" max="15446" width="6.5703125" style="1" customWidth="1"/>
    <col min="15447" max="15447" width="18.42578125" style="1" customWidth="1"/>
    <col min="15448" max="15618" width="8.42578125" style="1"/>
    <col min="15619" max="15619" width="10.5703125" style="1" customWidth="1"/>
    <col min="15620" max="15620" width="18.5703125" style="1" customWidth="1"/>
    <col min="15621" max="15621" width="10" style="1" customWidth="1"/>
    <col min="15622" max="15622" width="10.42578125" style="1" customWidth="1"/>
    <col min="15623" max="15627" width="8.7109375" style="1" customWidth="1"/>
    <col min="15628" max="15628" width="9.85546875" style="1" customWidth="1"/>
    <col min="15629" max="15629" width="8.7109375" style="1" customWidth="1"/>
    <col min="15630" max="15630" width="18" style="1" customWidth="1"/>
    <col min="15631" max="15631" width="6" style="1" customWidth="1"/>
    <col min="15632" max="15633" width="5.42578125" style="1" customWidth="1"/>
    <col min="15634" max="15634" width="5.5703125" style="1" customWidth="1"/>
    <col min="15635" max="15635" width="5.140625" style="1" customWidth="1"/>
    <col min="15636" max="15636" width="5.42578125" style="1" customWidth="1"/>
    <col min="15637" max="15638" width="5.140625" style="1" customWidth="1"/>
    <col min="15639" max="15639" width="5.42578125" style="1" customWidth="1"/>
    <col min="15640" max="15640" width="5.140625" style="1" customWidth="1"/>
    <col min="15641" max="15641" width="5" style="1" customWidth="1"/>
    <col min="15642" max="15642" width="5.42578125" style="1" customWidth="1"/>
    <col min="15643" max="15643" width="9.42578125" style="1" customWidth="1"/>
    <col min="15644" max="15644" width="6.85546875" style="1" customWidth="1"/>
    <col min="15645" max="15645" width="6.140625" style="1" customWidth="1"/>
    <col min="15646" max="15646" width="18.42578125" style="1" customWidth="1"/>
    <col min="15647" max="15664" width="5.7109375" style="1" customWidth="1"/>
    <col min="15665" max="15665" width="8.42578125" style="1" bestFit="1" customWidth="1"/>
    <col min="15666" max="15666" width="7" style="1" customWidth="1"/>
    <col min="15667" max="15668" width="5.7109375" style="1" customWidth="1"/>
    <col min="15669" max="15669" width="19.28515625" style="1" customWidth="1"/>
    <col min="15670" max="15680" width="5.7109375" style="1" customWidth="1"/>
    <col min="15681" max="15681" width="5.42578125" style="1" customWidth="1"/>
    <col min="15682" max="15684" width="5.7109375" style="1" customWidth="1"/>
    <col min="15685" max="15685" width="7.28515625" style="1" customWidth="1"/>
    <col min="15686" max="15686" width="6.85546875" style="1" customWidth="1"/>
    <col min="15687" max="15699" width="5.7109375" style="1" customWidth="1"/>
    <col min="15700" max="15700" width="6.7109375" style="1" customWidth="1"/>
    <col min="15701" max="15701" width="7" style="1" customWidth="1"/>
    <col min="15702" max="15702" width="6.5703125" style="1" customWidth="1"/>
    <col min="15703" max="15703" width="18.42578125" style="1" customWidth="1"/>
    <col min="15704" max="15874" width="8.42578125" style="1"/>
    <col min="15875" max="15875" width="10.5703125" style="1" customWidth="1"/>
    <col min="15876" max="15876" width="18.5703125" style="1" customWidth="1"/>
    <col min="15877" max="15877" width="10" style="1" customWidth="1"/>
    <col min="15878" max="15878" width="10.42578125" style="1" customWidth="1"/>
    <col min="15879" max="15883" width="8.7109375" style="1" customWidth="1"/>
    <col min="15884" max="15884" width="9.85546875" style="1" customWidth="1"/>
    <col min="15885" max="15885" width="8.7109375" style="1" customWidth="1"/>
    <col min="15886" max="15886" width="18" style="1" customWidth="1"/>
    <col min="15887" max="15887" width="6" style="1" customWidth="1"/>
    <col min="15888" max="15889" width="5.42578125" style="1" customWidth="1"/>
    <col min="15890" max="15890" width="5.5703125" style="1" customWidth="1"/>
    <col min="15891" max="15891" width="5.140625" style="1" customWidth="1"/>
    <col min="15892" max="15892" width="5.42578125" style="1" customWidth="1"/>
    <col min="15893" max="15894" width="5.140625" style="1" customWidth="1"/>
    <col min="15895" max="15895" width="5.42578125" style="1" customWidth="1"/>
    <col min="15896" max="15896" width="5.140625" style="1" customWidth="1"/>
    <col min="15897" max="15897" width="5" style="1" customWidth="1"/>
    <col min="15898" max="15898" width="5.42578125" style="1" customWidth="1"/>
    <col min="15899" max="15899" width="9.42578125" style="1" customWidth="1"/>
    <col min="15900" max="15900" width="6.85546875" style="1" customWidth="1"/>
    <col min="15901" max="15901" width="6.140625" style="1" customWidth="1"/>
    <col min="15902" max="15902" width="18.42578125" style="1" customWidth="1"/>
    <col min="15903" max="15920" width="5.7109375" style="1" customWidth="1"/>
    <col min="15921" max="15921" width="8.42578125" style="1" bestFit="1" customWidth="1"/>
    <col min="15922" max="15922" width="7" style="1" customWidth="1"/>
    <col min="15923" max="15924" width="5.7109375" style="1" customWidth="1"/>
    <col min="15925" max="15925" width="19.28515625" style="1" customWidth="1"/>
    <col min="15926" max="15936" width="5.7109375" style="1" customWidth="1"/>
    <col min="15937" max="15937" width="5.42578125" style="1" customWidth="1"/>
    <col min="15938" max="15940" width="5.7109375" style="1" customWidth="1"/>
    <col min="15941" max="15941" width="7.28515625" style="1" customWidth="1"/>
    <col min="15942" max="15942" width="6.85546875" style="1" customWidth="1"/>
    <col min="15943" max="15955" width="5.7109375" style="1" customWidth="1"/>
    <col min="15956" max="15956" width="6.7109375" style="1" customWidth="1"/>
    <col min="15957" max="15957" width="7" style="1" customWidth="1"/>
    <col min="15958" max="15958" width="6.5703125" style="1" customWidth="1"/>
    <col min="15959" max="15959" width="18.42578125" style="1" customWidth="1"/>
    <col min="15960" max="16130" width="8.42578125" style="1"/>
    <col min="16131" max="16131" width="10.5703125" style="1" customWidth="1"/>
    <col min="16132" max="16132" width="18.5703125" style="1" customWidth="1"/>
    <col min="16133" max="16133" width="10" style="1" customWidth="1"/>
    <col min="16134" max="16134" width="10.42578125" style="1" customWidth="1"/>
    <col min="16135" max="16139" width="8.7109375" style="1" customWidth="1"/>
    <col min="16140" max="16140" width="9.85546875" style="1" customWidth="1"/>
    <col min="16141" max="16141" width="8.7109375" style="1" customWidth="1"/>
    <col min="16142" max="16142" width="18" style="1" customWidth="1"/>
    <col min="16143" max="16143" width="6" style="1" customWidth="1"/>
    <col min="16144" max="16145" width="5.42578125" style="1" customWidth="1"/>
    <col min="16146" max="16146" width="5.5703125" style="1" customWidth="1"/>
    <col min="16147" max="16147" width="5.140625" style="1" customWidth="1"/>
    <col min="16148" max="16148" width="5.42578125" style="1" customWidth="1"/>
    <col min="16149" max="16150" width="5.140625" style="1" customWidth="1"/>
    <col min="16151" max="16151" width="5.42578125" style="1" customWidth="1"/>
    <col min="16152" max="16152" width="5.140625" style="1" customWidth="1"/>
    <col min="16153" max="16153" width="5" style="1" customWidth="1"/>
    <col min="16154" max="16154" width="5.42578125" style="1" customWidth="1"/>
    <col min="16155" max="16155" width="9.42578125" style="1" customWidth="1"/>
    <col min="16156" max="16156" width="6.85546875" style="1" customWidth="1"/>
    <col min="16157" max="16157" width="6.140625" style="1" customWidth="1"/>
    <col min="16158" max="16158" width="18.42578125" style="1" customWidth="1"/>
    <col min="16159" max="16176" width="5.7109375" style="1" customWidth="1"/>
    <col min="16177" max="16177" width="8.42578125" style="1" bestFit="1" customWidth="1"/>
    <col min="16178" max="16178" width="7" style="1" customWidth="1"/>
    <col min="16179" max="16180" width="5.7109375" style="1" customWidth="1"/>
    <col min="16181" max="16181" width="19.28515625" style="1" customWidth="1"/>
    <col min="16182" max="16192" width="5.7109375" style="1" customWidth="1"/>
    <col min="16193" max="16193" width="5.42578125" style="1" customWidth="1"/>
    <col min="16194" max="16196" width="5.7109375" style="1" customWidth="1"/>
    <col min="16197" max="16197" width="7.28515625" style="1" customWidth="1"/>
    <col min="16198" max="16198" width="6.85546875" style="1" customWidth="1"/>
    <col min="16199" max="16211" width="5.7109375" style="1" customWidth="1"/>
    <col min="16212" max="16212" width="6.7109375" style="1" customWidth="1"/>
    <col min="16213" max="16213" width="7" style="1" customWidth="1"/>
    <col min="16214" max="16214" width="6.5703125" style="1" customWidth="1"/>
    <col min="16215" max="16215" width="18.42578125" style="1" customWidth="1"/>
    <col min="16216" max="16384" width="8.42578125" style="1"/>
  </cols>
  <sheetData>
    <row r="1" spans="1:87">
      <c r="B1" s="370" t="s">
        <v>381</v>
      </c>
      <c r="C1" s="370"/>
      <c r="D1" s="370"/>
      <c r="E1" s="370"/>
      <c r="F1" s="370"/>
      <c r="G1" s="370"/>
      <c r="H1" s="370"/>
      <c r="I1" s="370"/>
      <c r="J1" s="370"/>
      <c r="K1" s="370"/>
      <c r="L1" s="364" t="s">
        <v>178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 t="s">
        <v>383</v>
      </c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364"/>
      <c r="AO1" s="364"/>
      <c r="AP1" s="364"/>
      <c r="AQ1" s="364"/>
      <c r="AR1" s="364"/>
      <c r="AS1" s="364"/>
      <c r="AT1" s="364"/>
      <c r="AU1" s="364"/>
      <c r="AV1" s="364"/>
      <c r="AW1" s="364"/>
      <c r="AX1" s="364"/>
      <c r="AY1" s="235" t="s">
        <v>179</v>
      </c>
      <c r="AZ1" s="105" t="s">
        <v>71</v>
      </c>
      <c r="BA1" s="105"/>
      <c r="BB1" s="105"/>
      <c r="BC1" s="105"/>
      <c r="BD1" s="105"/>
      <c r="BE1" s="62"/>
      <c r="BF1" s="105" t="s">
        <v>70</v>
      </c>
      <c r="BG1" s="105"/>
      <c r="BH1" s="105"/>
      <c r="BI1" s="105"/>
      <c r="BJ1" s="105"/>
      <c r="BK1" s="105"/>
      <c r="BL1" s="105"/>
      <c r="BM1" s="105"/>
      <c r="BN1" s="63"/>
      <c r="BO1" s="63"/>
      <c r="BP1" s="63"/>
      <c r="BQ1" s="62"/>
      <c r="BR1" s="63"/>
      <c r="BS1" s="364" t="s">
        <v>382</v>
      </c>
      <c r="BT1" s="364"/>
      <c r="BU1" s="364"/>
      <c r="BV1" s="364"/>
      <c r="BW1" s="364"/>
      <c r="BX1" s="364"/>
      <c r="BY1" s="364"/>
      <c r="BZ1" s="364"/>
      <c r="CA1" s="364"/>
      <c r="CB1" s="364"/>
      <c r="CC1" s="364"/>
      <c r="CD1" s="364"/>
      <c r="CE1" s="364"/>
      <c r="CF1" s="364"/>
      <c r="CG1" s="364"/>
      <c r="CH1" s="364"/>
      <c r="CI1" s="364"/>
    </row>
    <row r="2" spans="1:87">
      <c r="A2" s="3" t="s">
        <v>68</v>
      </c>
      <c r="B2" s="45" t="s">
        <v>34</v>
      </c>
      <c r="C2" s="108" t="s">
        <v>67</v>
      </c>
      <c r="D2" s="108" t="s">
        <v>66</v>
      </c>
      <c r="E2" s="89" t="s">
        <v>65</v>
      </c>
      <c r="F2" s="89" t="s">
        <v>64</v>
      </c>
      <c r="G2" s="89" t="s">
        <v>63</v>
      </c>
      <c r="H2" s="89" t="s">
        <v>62</v>
      </c>
      <c r="I2" s="89" t="s">
        <v>61</v>
      </c>
      <c r="J2" s="89" t="s">
        <v>60</v>
      </c>
      <c r="K2" s="89" t="s">
        <v>59</v>
      </c>
      <c r="L2" s="45" t="s">
        <v>34</v>
      </c>
      <c r="M2" s="93" t="s">
        <v>58</v>
      </c>
      <c r="N2" s="109"/>
      <c r="O2" s="83"/>
      <c r="P2" s="93" t="s">
        <v>57</v>
      </c>
      <c r="Q2" s="109"/>
      <c r="R2" s="83"/>
      <c r="S2" s="93" t="s">
        <v>180</v>
      </c>
      <c r="T2" s="109"/>
      <c r="U2" s="83"/>
      <c r="V2" s="93" t="s">
        <v>181</v>
      </c>
      <c r="W2" s="109"/>
      <c r="X2" s="83"/>
      <c r="Y2" s="45" t="s">
        <v>35</v>
      </c>
      <c r="Z2" s="45" t="s">
        <v>36</v>
      </c>
      <c r="AA2" s="87"/>
      <c r="AB2" s="45" t="s">
        <v>34</v>
      </c>
      <c r="AC2" s="86" t="s">
        <v>182</v>
      </c>
      <c r="AD2" s="85"/>
      <c r="AE2" s="84"/>
      <c r="AF2" s="86" t="s">
        <v>52</v>
      </c>
      <c r="AG2" s="85"/>
      <c r="AH2" s="84"/>
      <c r="AI2" s="86" t="s">
        <v>51</v>
      </c>
      <c r="AJ2" s="85"/>
      <c r="AK2" s="84"/>
      <c r="AL2" s="86" t="s">
        <v>50</v>
      </c>
      <c r="AM2" s="85"/>
      <c r="AN2" s="84"/>
      <c r="AO2" s="86" t="s">
        <v>49</v>
      </c>
      <c r="AP2" s="85"/>
      <c r="AQ2" s="84"/>
      <c r="AR2" s="86" t="s">
        <v>183</v>
      </c>
      <c r="AS2" s="85"/>
      <c r="AT2" s="84"/>
      <c r="AU2" s="62" t="s">
        <v>35</v>
      </c>
      <c r="AV2" s="45" t="s">
        <v>36</v>
      </c>
      <c r="AW2" s="45" t="s">
        <v>47</v>
      </c>
      <c r="AX2" s="45"/>
      <c r="AY2" s="32" t="s">
        <v>34</v>
      </c>
      <c r="AZ2" s="135" t="s">
        <v>46</v>
      </c>
      <c r="BA2" s="85"/>
      <c r="BB2" s="84"/>
      <c r="BC2" s="135" t="s">
        <v>108</v>
      </c>
      <c r="BD2" s="85"/>
      <c r="BE2" s="84"/>
      <c r="BF2" s="135" t="s">
        <v>44</v>
      </c>
      <c r="BG2" s="85"/>
      <c r="BH2" s="84"/>
      <c r="BI2" s="135" t="s">
        <v>145</v>
      </c>
      <c r="BJ2" s="85"/>
      <c r="BK2" s="84"/>
      <c r="BL2" s="135" t="s">
        <v>42</v>
      </c>
      <c r="BM2" s="85"/>
      <c r="BN2" s="84"/>
      <c r="BO2" s="45" t="s">
        <v>35</v>
      </c>
      <c r="BP2" s="45" t="s">
        <v>36</v>
      </c>
      <c r="BQ2" s="45" t="s">
        <v>41</v>
      </c>
      <c r="BR2" s="87"/>
      <c r="BS2" s="86" t="s">
        <v>40</v>
      </c>
      <c r="BT2" s="85"/>
      <c r="BU2" s="84"/>
      <c r="BV2" s="86" t="s">
        <v>184</v>
      </c>
      <c r="BW2" s="85"/>
      <c r="BX2" s="84"/>
      <c r="BY2" s="86" t="s">
        <v>146</v>
      </c>
      <c r="BZ2" s="85"/>
      <c r="CA2" s="84"/>
      <c r="CB2" s="86" t="s">
        <v>147</v>
      </c>
      <c r="CC2" s="85"/>
      <c r="CD2" s="84"/>
      <c r="CE2" s="45" t="s">
        <v>35</v>
      </c>
      <c r="CF2" s="45" t="s">
        <v>36</v>
      </c>
      <c r="CG2" s="45" t="s">
        <v>35</v>
      </c>
      <c r="CH2" s="45"/>
      <c r="CI2" s="32" t="s">
        <v>34</v>
      </c>
    </row>
    <row r="3" spans="1:87">
      <c r="A3" s="3"/>
      <c r="B3" s="106" t="s">
        <v>185</v>
      </c>
      <c r="C3" s="150">
        <v>34524</v>
      </c>
      <c r="D3" s="47" t="s">
        <v>77</v>
      </c>
      <c r="E3" s="32">
        <v>153</v>
      </c>
      <c r="F3" s="32">
        <v>39</v>
      </c>
      <c r="G3" s="32">
        <v>68</v>
      </c>
      <c r="H3" s="136">
        <v>1.1579999999999999</v>
      </c>
      <c r="I3" s="151">
        <f t="shared" ref="I3:I9" si="0">F3/(E3/100)^2</f>
        <v>16.660258874791747</v>
      </c>
      <c r="J3" s="43" t="s">
        <v>82</v>
      </c>
      <c r="K3" s="32">
        <f t="shared" ref="K3:K9" si="1">((E3-F3)*E3)/(H3*2*G3)</f>
        <v>110.75129533678756</v>
      </c>
      <c r="L3" s="106" t="s">
        <v>185</v>
      </c>
      <c r="M3" s="32">
        <v>186</v>
      </c>
      <c r="N3" s="40">
        <v>6</v>
      </c>
      <c r="O3" s="30">
        <f t="shared" ref="O3:O9" si="2">IF(M3=0,"",IF(M3&lt;180,2,IF(AND(M3&gt;=180,M3&lt;185),3,IF(AND(M3&gt;=185,M3&lt;190),4,IF(AND(M3&gt;=190),5)))))</f>
        <v>4</v>
      </c>
      <c r="P3" s="32">
        <v>4.3</v>
      </c>
      <c r="Q3" s="40">
        <v>19</v>
      </c>
      <c r="R3" s="30">
        <f t="shared" ref="R3:R9" si="3">IF(P3=0,"",IF(P3&gt;5.6,2,IF(AND(P3&lt;=5.6,P3&gt;5.3),3,IF(AND(P3&lt;=5.3,P3&gt;5),4,IF(AND(P3&lt;=5),5)))))</f>
        <v>5</v>
      </c>
      <c r="S3" s="32">
        <v>9.6999999999999993</v>
      </c>
      <c r="T3" s="40">
        <v>15</v>
      </c>
      <c r="U3" s="30">
        <f t="shared" ref="U3:U9" si="4">IF(S3=0,"",IF(S3&gt;10.8,2,IF(AND(S3&lt;=10.8,S3&gt;10.4),3,IF(AND(S3&lt;=10.4,S3&gt;10),4,IF(AND(S3&lt;=10),5)))))</f>
        <v>5</v>
      </c>
      <c r="V3" s="32">
        <v>1530</v>
      </c>
      <c r="W3" s="40">
        <v>20</v>
      </c>
      <c r="X3" s="30">
        <f t="shared" ref="X3:X9" si="5">IF(V3=0,"",IF(V3&lt;1190,2,IF(AND(V3&gt;=1190,V3&lt;1290),3,IF(AND(V3&gt;=1290,V3&lt;1400),4,IF(AND(V3&gt;=1400),5)))))</f>
        <v>5</v>
      </c>
      <c r="Y3" s="40">
        <f t="shared" ref="Y3:Y9" si="6">SUM(N3,Q3,T3,W3)</f>
        <v>60</v>
      </c>
      <c r="Z3" s="30">
        <f t="shared" ref="Z3:Z9" si="7">IF(Y3=0,"",IF(Y3&lt;4,2,IF(AND(Y3&gt;=4,Y3&lt;16),3,IF(AND(Y3&gt;=16,Y3&lt;30),4,IF(AND(Y3&gt;=30),5)))))</f>
        <v>5</v>
      </c>
      <c r="AA3" s="41"/>
      <c r="AB3" s="106" t="s">
        <v>185</v>
      </c>
      <c r="AC3" s="32">
        <v>36</v>
      </c>
      <c r="AD3" s="40">
        <v>1</v>
      </c>
      <c r="AE3" s="30">
        <f t="shared" ref="AE3:AE9" si="8">IF(AC3=0,"",IF(AC3&lt;35,2,IF(AND(AC3&gt;=35,AC3&lt;40),3,IF(AND(AC3&gt;=40,AC3&lt;48),4,IF(AND(AC3&gt;=48),5)))))</f>
        <v>3</v>
      </c>
      <c r="AF3" s="32">
        <v>-14</v>
      </c>
      <c r="AG3" s="40">
        <v>0</v>
      </c>
      <c r="AH3" s="30">
        <f t="shared" ref="AH3:AH9" si="9">IF(AF3=0,"",IF(AF3&lt;6,2,IF(AND(AF3&gt;=6,AF3&lt;8),3,IF(AND(AF3&gt;=8,AF3&lt;10),4,IF(AND(AF3&gt;=10),5)))))</f>
        <v>2</v>
      </c>
      <c r="AI3" s="32">
        <v>153</v>
      </c>
      <c r="AJ3" s="40">
        <v>20</v>
      </c>
      <c r="AK3" s="30">
        <f t="shared" ref="AK3:AK9" si="10">IF(AI3=0,"",IF(AI3&lt;100,2,IF(AND(AI3&gt;=100,AI3&lt;110),3,IF(AND(AI3&gt;=110,AI3&lt;120),4,IF(AND(AI3&gt;=120),5)))))</f>
        <v>5</v>
      </c>
      <c r="AL3" s="32">
        <v>6</v>
      </c>
      <c r="AM3" s="40">
        <v>1</v>
      </c>
      <c r="AN3" s="30">
        <f t="shared" ref="AN3:AN9" si="11">IF(AL3=0,"",IF(AL3&lt;6,2,IF(AND(AL3&gt;=6,AL3&lt;7),3,IF(AND(AL3&gt;=7,AL3&lt;9),4,IF(AND(AL3&gt;=9),5)))))</f>
        <v>3</v>
      </c>
      <c r="AO3" s="32">
        <v>14</v>
      </c>
      <c r="AP3" s="40">
        <v>14</v>
      </c>
      <c r="AQ3" s="30">
        <f t="shared" ref="AQ3:AQ9" si="12">IF(AO3=0,"",IF(AO3&lt;1,2,IF(AND(AO3&gt;=1,AO3&lt;5),3,IF(AND(AO3&gt;=5,AO3&lt;10),4,IF(AND(AO3&gt;=10),5)))))</f>
        <v>5</v>
      </c>
      <c r="AR3" s="32">
        <v>10</v>
      </c>
      <c r="AS3" s="40">
        <v>10</v>
      </c>
      <c r="AT3" s="30">
        <f t="shared" ref="AT3:AT9" si="13">IF(AR3=0,"",IF(AR3&lt;1,2,IF(AND(AR3&gt;=1,AR3&lt;5),3,IF(AND(AR3&gt;=5,AR3&lt;10),4,IF(AND(AR3&gt;=10),5)))))</f>
        <v>5</v>
      </c>
      <c r="AU3" s="40">
        <f t="shared" ref="AU3:AU9" si="14">SUM(AD3,AG3,AJ3,AM3,AP3,AS3)</f>
        <v>46</v>
      </c>
      <c r="AV3" s="30">
        <f t="shared" ref="AV3:AV9" si="15">IF(AU3=0,"",IF(AU3&lt;6,2,IF(AND(AU3&gt;=6,AU3&lt;20),3,IF(AND(AU3&gt;=20,AU3&lt;46),4,IF(AND(AU3&gt;=46),5)))))</f>
        <v>5</v>
      </c>
      <c r="AW3" s="40">
        <f t="shared" ref="AW3:AW9" si="16">SUM(Y3,AU3)</f>
        <v>106</v>
      </c>
      <c r="AX3" s="41"/>
      <c r="AY3" s="106" t="s">
        <v>185</v>
      </c>
      <c r="AZ3" s="31">
        <v>5.25</v>
      </c>
      <c r="BA3" s="344">
        <v>10</v>
      </c>
      <c r="BB3" s="30">
        <v>5</v>
      </c>
      <c r="BC3" s="31">
        <v>12.290000000000001</v>
      </c>
      <c r="BD3" s="344">
        <v>10</v>
      </c>
      <c r="BE3" s="30">
        <v>5</v>
      </c>
      <c r="BF3" s="31">
        <v>15</v>
      </c>
      <c r="BG3" s="344">
        <v>15</v>
      </c>
      <c r="BH3" s="30">
        <f t="shared" ref="BH3:BH9" si="17">IF(BF3=0,"",IF(BF3&lt;6,2,IF(AND(BF3&gt;=6,BF3&lt;8),3,IF(AND(BF3&gt;=8,BF3&lt;10),4,IF(AND(BF3&gt;=10),5)))))</f>
        <v>5</v>
      </c>
      <c r="BI3" s="31">
        <v>11.700000000000001</v>
      </c>
      <c r="BJ3" s="344">
        <v>14</v>
      </c>
      <c r="BK3" s="30">
        <f t="shared" ref="BK3:BK9" si="18">IF(BI3=0,"",IF(BI3&gt;14.8,2,IF(AND(BI3&lt;=14.8,BI3&gt;13.6),3,IF(AND(BI3&lt;=13.6,BI3&gt;12.6),4,IF(AND(BI3&lt;=12.6),5)))))</f>
        <v>5</v>
      </c>
      <c r="BL3" s="31">
        <v>9</v>
      </c>
      <c r="BM3" s="344">
        <v>18</v>
      </c>
      <c r="BN3" s="30">
        <f t="shared" ref="BN3:BN9" si="19">IF(BL3=0,"",IF(BL3&lt;3,2,IF(AND(BL3&gt;=3,BL3&lt;5),3,IF(AND(BL3&gt;=5,BL3&lt;7),4,IF(AND(BL3&gt;=7),5)))))</f>
        <v>5</v>
      </c>
      <c r="BO3" s="40">
        <f t="shared" ref="BO3:BO9" si="20">SUM(BA3,BD3,BG3,BJ3,BM3)</f>
        <v>67</v>
      </c>
      <c r="BP3" s="30">
        <f>IF(BO3=0,"",IF(BO3&lt;5,2,IF(AND(BO3&gt;=5,BO3&lt;17),3,IF(AND(BO3&gt;=17,BO3&lt;40),4,IF(AND(BO3&gt;=40),5)))))</f>
        <v>5</v>
      </c>
      <c r="BQ3" s="40">
        <f t="shared" ref="BQ3:BQ9" si="21">SUM(AW3,BO3)</f>
        <v>173</v>
      </c>
      <c r="BR3" s="223">
        <v>5</v>
      </c>
      <c r="BS3" s="31">
        <v>8.3000000000000007</v>
      </c>
      <c r="BT3" s="344">
        <v>20</v>
      </c>
      <c r="BU3" s="30">
        <f t="shared" ref="BU3:BU9" si="22">IF(BS3=0,"",IF(BS3&gt;10.5,2,IF(AND(BS3&lt;=10.5,BS3&gt;9.7),3,IF(AND(BS3&lt;=9.7,BS3&gt;9),4,IF(AND(BS3&lt;=9),5)))))</f>
        <v>5</v>
      </c>
      <c r="BV3" s="31">
        <v>8.09</v>
      </c>
      <c r="BW3" s="344">
        <v>20</v>
      </c>
      <c r="BX3" s="30">
        <f t="shared" ref="BX3:BX9" si="23">IF(BV3=0,"",IF(BV3&gt;11.4,2,IF(AND(BV3&lt;=11.4,BV3&gt;10.4),3,IF(AND(BV3&lt;=10.4,BV3&gt;10),4,IF(AND(BV3&lt;=10),5)))))</f>
        <v>5</v>
      </c>
      <c r="BY3" s="31">
        <v>40</v>
      </c>
      <c r="BZ3" s="344">
        <v>8</v>
      </c>
      <c r="CA3" s="30">
        <f t="shared" ref="CA3:CA9" si="24">IF(BY3=0,"",IF(BY3&lt;28,2,IF(AND(BY3&gt;=28,BY3&lt;37),3,IF(AND(BY3&gt;=37,BY3&lt;42),4,IF(AND(BY3&gt;=42),5)))))</f>
        <v>4</v>
      </c>
      <c r="CB3" s="31">
        <v>30</v>
      </c>
      <c r="CC3" s="344">
        <v>20</v>
      </c>
      <c r="CD3" s="30">
        <f t="shared" ref="CD3:CD9" si="25">IF(CB3=0,"",IF(CB3&lt;5,2,IF(AND(CB3&gt;=5,CB3&lt;10),3,IF(AND(CB3&gt;=10,CB3&lt;18),4,IF(AND(CB3&gt;=18),5)))))</f>
        <v>5</v>
      </c>
      <c r="CE3" s="40">
        <f t="shared" ref="CE3:CE9" si="26">SUM(BT3,BW3,BZ3,CC3)</f>
        <v>68</v>
      </c>
      <c r="CF3" s="30">
        <f t="shared" ref="CF3:CF9" si="27">IF(CE3=0,"",IF(CE3&lt;4,2,IF(AND(CE3&gt;=4,CE3&lt;16),3,IF(AND(CE3&gt;=16,CE3&lt;30),4,IF(AND(CE3&gt;=30),5)))))</f>
        <v>5</v>
      </c>
      <c r="CG3" s="40">
        <f t="shared" ref="CG3:CG9" si="28">SUM(BQ3,CE3)</f>
        <v>241</v>
      </c>
      <c r="CH3" s="41"/>
      <c r="CI3" s="106" t="s">
        <v>185</v>
      </c>
    </row>
    <row r="4" spans="1:87">
      <c r="A4" s="3"/>
      <c r="B4" s="106" t="s">
        <v>186</v>
      </c>
      <c r="C4" s="150">
        <v>34551</v>
      </c>
      <c r="D4" s="47" t="s">
        <v>19</v>
      </c>
      <c r="E4" s="32">
        <v>159</v>
      </c>
      <c r="F4" s="32">
        <v>49</v>
      </c>
      <c r="G4" s="32">
        <v>71</v>
      </c>
      <c r="H4" s="136">
        <v>1.1579999999999999</v>
      </c>
      <c r="I4" s="151">
        <f t="shared" si="0"/>
        <v>19.382144693643447</v>
      </c>
      <c r="J4" s="43" t="s">
        <v>26</v>
      </c>
      <c r="K4" s="32">
        <f t="shared" si="1"/>
        <v>106.36357002116327</v>
      </c>
      <c r="L4" s="106" t="s">
        <v>186</v>
      </c>
      <c r="M4" s="32">
        <v>208</v>
      </c>
      <c r="N4" s="40">
        <v>20</v>
      </c>
      <c r="O4" s="30">
        <f t="shared" si="2"/>
        <v>5</v>
      </c>
      <c r="P4" s="32">
        <v>4.4000000000000004</v>
      </c>
      <c r="Q4" s="40">
        <v>18</v>
      </c>
      <c r="R4" s="30">
        <f t="shared" si="3"/>
        <v>5</v>
      </c>
      <c r="S4" s="32">
        <v>9.5</v>
      </c>
      <c r="T4" s="40">
        <v>17</v>
      </c>
      <c r="U4" s="30">
        <f t="shared" si="4"/>
        <v>5</v>
      </c>
      <c r="V4" s="32">
        <v>1475</v>
      </c>
      <c r="W4" s="40">
        <v>17</v>
      </c>
      <c r="X4" s="30">
        <f t="shared" si="5"/>
        <v>5</v>
      </c>
      <c r="Y4" s="40">
        <f t="shared" si="6"/>
        <v>72</v>
      </c>
      <c r="Z4" s="30">
        <f t="shared" si="7"/>
        <v>5</v>
      </c>
      <c r="AA4" s="223">
        <v>5</v>
      </c>
      <c r="AB4" s="106" t="s">
        <v>186</v>
      </c>
      <c r="AC4" s="32">
        <v>45</v>
      </c>
      <c r="AD4" s="40">
        <v>8</v>
      </c>
      <c r="AE4" s="30">
        <f t="shared" si="8"/>
        <v>4</v>
      </c>
      <c r="AF4" s="32">
        <v>8</v>
      </c>
      <c r="AG4" s="40">
        <v>5</v>
      </c>
      <c r="AH4" s="30">
        <f t="shared" si="9"/>
        <v>4</v>
      </c>
      <c r="AI4" s="32">
        <v>134</v>
      </c>
      <c r="AJ4" s="40">
        <v>14</v>
      </c>
      <c r="AK4" s="30">
        <f t="shared" si="10"/>
        <v>5</v>
      </c>
      <c r="AL4" s="32">
        <v>9</v>
      </c>
      <c r="AM4" s="40">
        <v>10</v>
      </c>
      <c r="AN4" s="30">
        <f t="shared" si="11"/>
        <v>5</v>
      </c>
      <c r="AO4" s="32">
        <v>12</v>
      </c>
      <c r="AP4" s="40">
        <v>12</v>
      </c>
      <c r="AQ4" s="30">
        <f t="shared" si="12"/>
        <v>5</v>
      </c>
      <c r="AR4" s="32">
        <v>10</v>
      </c>
      <c r="AS4" s="40">
        <v>10</v>
      </c>
      <c r="AT4" s="30">
        <f t="shared" si="13"/>
        <v>5</v>
      </c>
      <c r="AU4" s="40">
        <f t="shared" si="14"/>
        <v>59</v>
      </c>
      <c r="AV4" s="30">
        <f t="shared" si="15"/>
        <v>5</v>
      </c>
      <c r="AW4" s="40">
        <f t="shared" si="16"/>
        <v>131</v>
      </c>
      <c r="AX4" s="41"/>
      <c r="AY4" s="106" t="s">
        <v>186</v>
      </c>
      <c r="AZ4" s="31">
        <v>5.29</v>
      </c>
      <c r="BA4" s="344">
        <v>10</v>
      </c>
      <c r="BB4" s="30">
        <v>5</v>
      </c>
      <c r="BC4" s="31">
        <v>12.25</v>
      </c>
      <c r="BD4" s="344">
        <v>10</v>
      </c>
      <c r="BE4" s="30">
        <v>5</v>
      </c>
      <c r="BF4" s="31"/>
      <c r="BG4" s="344"/>
      <c r="BH4" s="30" t="str">
        <f t="shared" si="17"/>
        <v/>
      </c>
      <c r="BI4" s="31"/>
      <c r="BJ4" s="344"/>
      <c r="BK4" s="30" t="str">
        <f t="shared" si="18"/>
        <v/>
      </c>
      <c r="BL4" s="31"/>
      <c r="BM4" s="344"/>
      <c r="BN4" s="30" t="str">
        <f t="shared" si="19"/>
        <v/>
      </c>
      <c r="BO4" s="40">
        <f t="shared" si="20"/>
        <v>20</v>
      </c>
      <c r="BP4" s="30">
        <f>IF(BO4=0,"",IF(BO4&lt;5,2,IF(AND(BO4&gt;=5,BO4&lt;17),3,IF(AND(BO4&gt;=17,BO4&lt;40),4,IF(AND(BO4&gt;=40),5)))))</f>
        <v>4</v>
      </c>
      <c r="BQ4" s="40">
        <f t="shared" si="21"/>
        <v>151</v>
      </c>
      <c r="BR4" s="41"/>
      <c r="BS4" s="31">
        <v>8.1999999999999993</v>
      </c>
      <c r="BT4" s="344">
        <v>20</v>
      </c>
      <c r="BU4" s="30">
        <f t="shared" si="22"/>
        <v>5</v>
      </c>
      <c r="BV4" s="31">
        <v>8.18</v>
      </c>
      <c r="BW4" s="344">
        <v>20</v>
      </c>
      <c r="BX4" s="30">
        <f t="shared" si="23"/>
        <v>5</v>
      </c>
      <c r="BY4" s="31">
        <v>42</v>
      </c>
      <c r="BZ4" s="344">
        <v>10</v>
      </c>
      <c r="CA4" s="30">
        <f t="shared" si="24"/>
        <v>5</v>
      </c>
      <c r="CB4" s="31">
        <v>28</v>
      </c>
      <c r="CC4" s="344">
        <v>18</v>
      </c>
      <c r="CD4" s="30">
        <f t="shared" si="25"/>
        <v>5</v>
      </c>
      <c r="CE4" s="40">
        <f t="shared" si="26"/>
        <v>68</v>
      </c>
      <c r="CF4" s="30">
        <f t="shared" si="27"/>
        <v>5</v>
      </c>
      <c r="CG4" s="40">
        <f t="shared" si="28"/>
        <v>219</v>
      </c>
      <c r="CH4" s="223">
        <v>5</v>
      </c>
      <c r="CI4" s="106" t="s">
        <v>186</v>
      </c>
    </row>
    <row r="5" spans="1:87">
      <c r="A5" s="3"/>
      <c r="B5" s="106" t="s">
        <v>187</v>
      </c>
      <c r="C5" s="150">
        <v>34674</v>
      </c>
      <c r="D5" s="47" t="s">
        <v>19</v>
      </c>
      <c r="E5" s="32">
        <v>165</v>
      </c>
      <c r="F5" s="32">
        <v>49</v>
      </c>
      <c r="G5" s="32">
        <v>70</v>
      </c>
      <c r="H5" s="136">
        <v>1.1579999999999999</v>
      </c>
      <c r="I5" s="151">
        <f t="shared" si="0"/>
        <v>17.998163452708908</v>
      </c>
      <c r="J5" s="43" t="s">
        <v>30</v>
      </c>
      <c r="K5" s="32">
        <f t="shared" si="1"/>
        <v>118.06069578090305</v>
      </c>
      <c r="L5" s="106" t="s">
        <v>187</v>
      </c>
      <c r="M5" s="32">
        <v>202</v>
      </c>
      <c r="N5" s="40">
        <v>20</v>
      </c>
      <c r="O5" s="30">
        <f t="shared" si="2"/>
        <v>5</v>
      </c>
      <c r="P5" s="32">
        <v>4.7</v>
      </c>
      <c r="Q5" s="40">
        <v>14</v>
      </c>
      <c r="R5" s="30">
        <f t="shared" si="3"/>
        <v>5</v>
      </c>
      <c r="S5" s="32">
        <v>9.6</v>
      </c>
      <c r="T5" s="40">
        <v>16</v>
      </c>
      <c r="U5" s="30">
        <f t="shared" si="4"/>
        <v>5</v>
      </c>
      <c r="V5" s="32">
        <v>1410</v>
      </c>
      <c r="W5" s="40">
        <v>11</v>
      </c>
      <c r="X5" s="30">
        <f t="shared" si="5"/>
        <v>5</v>
      </c>
      <c r="Y5" s="40">
        <f t="shared" si="6"/>
        <v>61</v>
      </c>
      <c r="Z5" s="30">
        <f t="shared" si="7"/>
        <v>5</v>
      </c>
      <c r="AA5" s="223">
        <v>5</v>
      </c>
      <c r="AB5" s="106" t="s">
        <v>187</v>
      </c>
      <c r="AC5" s="34">
        <v>37</v>
      </c>
      <c r="AD5" s="101">
        <v>2</v>
      </c>
      <c r="AE5" s="30">
        <f t="shared" si="8"/>
        <v>3</v>
      </c>
      <c r="AF5" s="34">
        <v>11</v>
      </c>
      <c r="AG5" s="101">
        <v>14</v>
      </c>
      <c r="AH5" s="30">
        <f t="shared" si="9"/>
        <v>5</v>
      </c>
      <c r="AI5" s="34">
        <v>115</v>
      </c>
      <c r="AJ5" s="101">
        <v>7</v>
      </c>
      <c r="AK5" s="30">
        <f t="shared" si="10"/>
        <v>4</v>
      </c>
      <c r="AL5" s="34">
        <v>5</v>
      </c>
      <c r="AM5" s="101">
        <v>0</v>
      </c>
      <c r="AN5" s="30">
        <f t="shared" si="11"/>
        <v>2</v>
      </c>
      <c r="AO5" s="34">
        <v>9</v>
      </c>
      <c r="AP5" s="101">
        <v>9</v>
      </c>
      <c r="AQ5" s="30">
        <f t="shared" si="12"/>
        <v>4</v>
      </c>
      <c r="AR5" s="34"/>
      <c r="AS5" s="101"/>
      <c r="AT5" s="30" t="str">
        <f t="shared" si="13"/>
        <v/>
      </c>
      <c r="AU5" s="40">
        <f t="shared" si="14"/>
        <v>32</v>
      </c>
      <c r="AV5" s="30">
        <f t="shared" si="15"/>
        <v>4</v>
      </c>
      <c r="AW5" s="40">
        <f t="shared" si="16"/>
        <v>93</v>
      </c>
      <c r="AX5" s="41"/>
      <c r="AY5" s="106" t="s">
        <v>187</v>
      </c>
      <c r="AZ5" s="31"/>
      <c r="BA5" s="344"/>
      <c r="BB5" s="30">
        <v>3</v>
      </c>
      <c r="BC5" s="31"/>
      <c r="BD5" s="344"/>
      <c r="BE5" s="30">
        <v>3</v>
      </c>
      <c r="BF5" s="31">
        <v>7</v>
      </c>
      <c r="BG5" s="344">
        <v>3</v>
      </c>
      <c r="BH5" s="30">
        <f t="shared" si="17"/>
        <v>3</v>
      </c>
      <c r="BI5" s="31">
        <v>11.9</v>
      </c>
      <c r="BJ5" s="344">
        <v>13</v>
      </c>
      <c r="BK5" s="30">
        <f t="shared" si="18"/>
        <v>5</v>
      </c>
      <c r="BL5" s="31">
        <v>5</v>
      </c>
      <c r="BM5" s="344">
        <v>5</v>
      </c>
      <c r="BN5" s="30">
        <f t="shared" si="19"/>
        <v>4</v>
      </c>
      <c r="BO5" s="40">
        <f t="shared" si="20"/>
        <v>21</v>
      </c>
      <c r="BP5" s="30">
        <f>IF(BO5=0,"",IF(BO5&lt;5,2,IF(AND(BO5&gt;=5,BO5&lt;17),3,IF(AND(BO5&gt;=17,BO5&lt;40),4,IF(AND(BO5&gt;=40),5)))))</f>
        <v>4</v>
      </c>
      <c r="BQ5" s="40">
        <f t="shared" si="21"/>
        <v>114</v>
      </c>
      <c r="BR5" s="41"/>
      <c r="BS5" s="31">
        <v>8.3000000000000007</v>
      </c>
      <c r="BT5" s="344">
        <v>20</v>
      </c>
      <c r="BU5" s="30">
        <f t="shared" si="22"/>
        <v>5</v>
      </c>
      <c r="BV5" s="31">
        <v>11.58</v>
      </c>
      <c r="BW5" s="344">
        <v>0</v>
      </c>
      <c r="BX5" s="30">
        <f t="shared" si="23"/>
        <v>2</v>
      </c>
      <c r="BY5" s="31"/>
      <c r="BZ5" s="344"/>
      <c r="CA5" s="30" t="str">
        <f t="shared" si="24"/>
        <v/>
      </c>
      <c r="CB5" s="31">
        <v>15</v>
      </c>
      <c r="CC5" s="344">
        <v>8</v>
      </c>
      <c r="CD5" s="30">
        <f t="shared" si="25"/>
        <v>4</v>
      </c>
      <c r="CE5" s="40">
        <f t="shared" si="26"/>
        <v>28</v>
      </c>
      <c r="CF5" s="30">
        <f t="shared" si="27"/>
        <v>4</v>
      </c>
      <c r="CG5" s="40">
        <f t="shared" si="28"/>
        <v>142</v>
      </c>
      <c r="CH5" s="41"/>
      <c r="CI5" s="106" t="s">
        <v>187</v>
      </c>
    </row>
    <row r="6" spans="1:87">
      <c r="A6" s="3"/>
      <c r="B6" s="106" t="s">
        <v>188</v>
      </c>
      <c r="C6" s="150">
        <v>34642</v>
      </c>
      <c r="D6" s="47" t="s">
        <v>77</v>
      </c>
      <c r="E6" s="32">
        <v>163</v>
      </c>
      <c r="F6" s="32">
        <v>60</v>
      </c>
      <c r="G6" s="32">
        <v>80</v>
      </c>
      <c r="H6" s="136">
        <v>1.1579999999999999</v>
      </c>
      <c r="I6" s="151">
        <f t="shared" si="0"/>
        <v>22.582709172343712</v>
      </c>
      <c r="J6" s="43" t="s">
        <v>24</v>
      </c>
      <c r="K6" s="32">
        <f t="shared" si="1"/>
        <v>90.614205526770306</v>
      </c>
      <c r="L6" s="106" t="s">
        <v>188</v>
      </c>
      <c r="M6" s="32">
        <v>181</v>
      </c>
      <c r="N6" s="40">
        <v>1</v>
      </c>
      <c r="O6" s="30">
        <f t="shared" si="2"/>
        <v>3</v>
      </c>
      <c r="P6" s="32">
        <v>5</v>
      </c>
      <c r="Q6" s="40">
        <v>10</v>
      </c>
      <c r="R6" s="30">
        <f t="shared" si="3"/>
        <v>5</v>
      </c>
      <c r="S6" s="32">
        <v>10.1</v>
      </c>
      <c r="T6" s="40">
        <v>9</v>
      </c>
      <c r="U6" s="30">
        <f t="shared" si="4"/>
        <v>4</v>
      </c>
      <c r="V6" s="32">
        <v>1330</v>
      </c>
      <c r="W6" s="40">
        <v>6</v>
      </c>
      <c r="X6" s="30">
        <f t="shared" si="5"/>
        <v>4</v>
      </c>
      <c r="Y6" s="40">
        <f t="shared" si="6"/>
        <v>26</v>
      </c>
      <c r="Z6" s="30">
        <f t="shared" si="7"/>
        <v>4</v>
      </c>
      <c r="AA6" s="41"/>
      <c r="AB6" s="106" t="s">
        <v>188</v>
      </c>
      <c r="AC6" s="32">
        <v>39</v>
      </c>
      <c r="AD6" s="40">
        <v>4</v>
      </c>
      <c r="AE6" s="30">
        <f t="shared" si="8"/>
        <v>3</v>
      </c>
      <c r="AF6" s="32">
        <v>6</v>
      </c>
      <c r="AG6" s="40">
        <v>1</v>
      </c>
      <c r="AH6" s="30">
        <f t="shared" si="9"/>
        <v>3</v>
      </c>
      <c r="AI6" s="32">
        <v>60</v>
      </c>
      <c r="AJ6" s="40">
        <v>0</v>
      </c>
      <c r="AK6" s="30">
        <f t="shared" si="10"/>
        <v>2</v>
      </c>
      <c r="AL6" s="32">
        <v>3</v>
      </c>
      <c r="AM6" s="40">
        <v>0</v>
      </c>
      <c r="AN6" s="30">
        <f t="shared" si="11"/>
        <v>2</v>
      </c>
      <c r="AO6" s="32">
        <v>12</v>
      </c>
      <c r="AP6" s="40">
        <v>12</v>
      </c>
      <c r="AQ6" s="30">
        <f t="shared" si="12"/>
        <v>5</v>
      </c>
      <c r="AR6" s="32">
        <v>10</v>
      </c>
      <c r="AS6" s="40">
        <v>10</v>
      </c>
      <c r="AT6" s="30">
        <f t="shared" si="13"/>
        <v>5</v>
      </c>
      <c r="AU6" s="40">
        <f t="shared" si="14"/>
        <v>27</v>
      </c>
      <c r="AV6" s="30">
        <f t="shared" si="15"/>
        <v>4</v>
      </c>
      <c r="AW6" s="40">
        <f t="shared" si="16"/>
        <v>53</v>
      </c>
      <c r="AX6" s="41"/>
      <c r="AY6" s="106" t="s">
        <v>188</v>
      </c>
      <c r="AZ6" s="31"/>
      <c r="BA6" s="344"/>
      <c r="BB6" s="30">
        <v>2</v>
      </c>
      <c r="BC6" s="31"/>
      <c r="BD6" s="344"/>
      <c r="BE6" s="30">
        <v>2</v>
      </c>
      <c r="BF6" s="31">
        <v>8</v>
      </c>
      <c r="BG6" s="344">
        <v>5</v>
      </c>
      <c r="BH6" s="30">
        <f t="shared" si="17"/>
        <v>4</v>
      </c>
      <c r="BI6" s="31">
        <v>12.3</v>
      </c>
      <c r="BJ6" s="344">
        <v>11</v>
      </c>
      <c r="BK6" s="30">
        <f t="shared" si="18"/>
        <v>5</v>
      </c>
      <c r="BL6" s="31">
        <v>1</v>
      </c>
      <c r="BM6" s="344">
        <v>0</v>
      </c>
      <c r="BN6" s="30">
        <f t="shared" si="19"/>
        <v>2</v>
      </c>
      <c r="BO6" s="40">
        <f t="shared" si="20"/>
        <v>16</v>
      </c>
      <c r="BP6" s="30">
        <f>IF(BO6=0,"",IF(BO6&lt;5,2,IF(AND(BO6&gt;=5,BO6&lt;17),3,IF(AND(BO6&gt;=17,BO6&lt;40),4,IF(AND(BO6&gt;=40),5)))))</f>
        <v>3</v>
      </c>
      <c r="BQ6" s="40">
        <f t="shared" si="21"/>
        <v>69</v>
      </c>
      <c r="BR6" s="41"/>
      <c r="BS6" s="31">
        <v>9</v>
      </c>
      <c r="BT6" s="344">
        <v>10</v>
      </c>
      <c r="BU6" s="30">
        <f t="shared" si="22"/>
        <v>5</v>
      </c>
      <c r="BV6" s="31">
        <v>9.49</v>
      </c>
      <c r="BW6" s="344">
        <v>10</v>
      </c>
      <c r="BX6" s="30">
        <f t="shared" si="23"/>
        <v>5</v>
      </c>
      <c r="BY6" s="31">
        <v>44</v>
      </c>
      <c r="BZ6" s="344">
        <v>14</v>
      </c>
      <c r="CA6" s="30">
        <f t="shared" si="24"/>
        <v>5</v>
      </c>
      <c r="CB6" s="31">
        <v>30</v>
      </c>
      <c r="CC6" s="344">
        <v>20</v>
      </c>
      <c r="CD6" s="30">
        <f t="shared" si="25"/>
        <v>5</v>
      </c>
      <c r="CE6" s="40">
        <f t="shared" si="26"/>
        <v>54</v>
      </c>
      <c r="CF6" s="30">
        <f t="shared" si="27"/>
        <v>5</v>
      </c>
      <c r="CG6" s="40">
        <f t="shared" si="28"/>
        <v>123</v>
      </c>
      <c r="CH6" s="223">
        <v>5</v>
      </c>
      <c r="CI6" s="106" t="s">
        <v>188</v>
      </c>
    </row>
    <row r="7" spans="1:87">
      <c r="A7" s="3"/>
      <c r="B7" s="106" t="s">
        <v>189</v>
      </c>
      <c r="C7" s="150">
        <v>34599</v>
      </c>
      <c r="D7" s="47" t="s">
        <v>77</v>
      </c>
      <c r="E7" s="3">
        <v>171</v>
      </c>
      <c r="F7" s="3">
        <v>50</v>
      </c>
      <c r="G7" s="3">
        <v>72</v>
      </c>
      <c r="H7" s="136">
        <v>1.1579999999999999</v>
      </c>
      <c r="I7" s="151">
        <f t="shared" si="0"/>
        <v>17.099278410451081</v>
      </c>
      <c r="J7" s="43" t="s">
        <v>30</v>
      </c>
      <c r="K7" s="32">
        <f t="shared" si="1"/>
        <v>124.08246977547498</v>
      </c>
      <c r="L7" s="106" t="s">
        <v>189</v>
      </c>
      <c r="M7" s="3">
        <v>200</v>
      </c>
      <c r="N7" s="97">
        <v>20</v>
      </c>
      <c r="O7" s="30">
        <f t="shared" si="2"/>
        <v>5</v>
      </c>
      <c r="P7" s="3">
        <v>4.5999999999999996</v>
      </c>
      <c r="Q7" s="97">
        <v>15</v>
      </c>
      <c r="R7" s="30">
        <f t="shared" si="3"/>
        <v>5</v>
      </c>
      <c r="S7" s="3">
        <v>10.1</v>
      </c>
      <c r="T7" s="97">
        <v>9</v>
      </c>
      <c r="U7" s="30">
        <f t="shared" si="4"/>
        <v>4</v>
      </c>
      <c r="V7" s="32">
        <v>1315</v>
      </c>
      <c r="W7" s="40">
        <v>6</v>
      </c>
      <c r="X7" s="30">
        <f t="shared" si="5"/>
        <v>4</v>
      </c>
      <c r="Y7" s="40">
        <f t="shared" si="6"/>
        <v>50</v>
      </c>
      <c r="Z7" s="30">
        <f t="shared" si="7"/>
        <v>5</v>
      </c>
      <c r="AA7" s="41"/>
      <c r="AB7" s="106" t="s">
        <v>189</v>
      </c>
      <c r="AC7" s="32">
        <v>24</v>
      </c>
      <c r="AD7" s="40">
        <v>0</v>
      </c>
      <c r="AE7" s="30">
        <f t="shared" si="8"/>
        <v>2</v>
      </c>
      <c r="AF7" s="45">
        <v>6</v>
      </c>
      <c r="AG7" s="66">
        <v>1</v>
      </c>
      <c r="AH7" s="30">
        <f t="shared" si="9"/>
        <v>3</v>
      </c>
      <c r="AI7" s="45">
        <v>93</v>
      </c>
      <c r="AJ7" s="66">
        <v>0</v>
      </c>
      <c r="AK7" s="30">
        <f t="shared" si="10"/>
        <v>2</v>
      </c>
      <c r="AL7" s="45">
        <v>6</v>
      </c>
      <c r="AM7" s="66">
        <v>1</v>
      </c>
      <c r="AN7" s="30">
        <f t="shared" si="11"/>
        <v>3</v>
      </c>
      <c r="AO7" s="45">
        <v>5</v>
      </c>
      <c r="AP7" s="66">
        <v>5</v>
      </c>
      <c r="AQ7" s="30">
        <f t="shared" si="12"/>
        <v>4</v>
      </c>
      <c r="AR7" s="32">
        <v>7</v>
      </c>
      <c r="AS7" s="66">
        <v>7</v>
      </c>
      <c r="AT7" s="30">
        <f t="shared" si="13"/>
        <v>4</v>
      </c>
      <c r="AU7" s="40">
        <f t="shared" si="14"/>
        <v>14</v>
      </c>
      <c r="AV7" s="30">
        <f t="shared" si="15"/>
        <v>3</v>
      </c>
      <c r="AW7" s="40">
        <f t="shared" si="16"/>
        <v>64</v>
      </c>
      <c r="AX7" s="41"/>
      <c r="AY7" s="106" t="s">
        <v>189</v>
      </c>
      <c r="AZ7" s="31"/>
      <c r="BA7" s="344"/>
      <c r="BB7" s="30">
        <v>2</v>
      </c>
      <c r="BC7" s="31"/>
      <c r="BD7" s="344"/>
      <c r="BE7" s="30">
        <v>2</v>
      </c>
      <c r="BF7" s="31">
        <v>2</v>
      </c>
      <c r="BG7" s="344">
        <v>0</v>
      </c>
      <c r="BH7" s="30">
        <f t="shared" si="17"/>
        <v>2</v>
      </c>
      <c r="BI7" s="31">
        <v>12.6</v>
      </c>
      <c r="BJ7" s="344">
        <v>10</v>
      </c>
      <c r="BK7" s="30">
        <f t="shared" si="18"/>
        <v>5</v>
      </c>
      <c r="BL7" s="31">
        <v>3</v>
      </c>
      <c r="BM7" s="344">
        <v>1</v>
      </c>
      <c r="BN7" s="30">
        <f t="shared" si="19"/>
        <v>3</v>
      </c>
      <c r="BO7" s="40">
        <f t="shared" si="20"/>
        <v>11</v>
      </c>
      <c r="BP7" s="30">
        <v>2</v>
      </c>
      <c r="BQ7" s="40">
        <f t="shared" si="21"/>
        <v>75</v>
      </c>
      <c r="BR7" s="41"/>
      <c r="BS7" s="31">
        <v>8.6</v>
      </c>
      <c r="BT7" s="344">
        <v>18</v>
      </c>
      <c r="BU7" s="30">
        <f t="shared" si="22"/>
        <v>5</v>
      </c>
      <c r="BV7" s="31">
        <v>10.41</v>
      </c>
      <c r="BW7" s="344">
        <v>4</v>
      </c>
      <c r="BX7" s="30">
        <f t="shared" si="23"/>
        <v>3</v>
      </c>
      <c r="BY7" s="31">
        <v>34</v>
      </c>
      <c r="BZ7" s="344">
        <v>3</v>
      </c>
      <c r="CA7" s="30">
        <f t="shared" si="24"/>
        <v>3</v>
      </c>
      <c r="CB7" s="31">
        <v>20</v>
      </c>
      <c r="CC7" s="344">
        <v>11</v>
      </c>
      <c r="CD7" s="30">
        <f t="shared" si="25"/>
        <v>5</v>
      </c>
      <c r="CE7" s="40">
        <f t="shared" si="26"/>
        <v>36</v>
      </c>
      <c r="CF7" s="30">
        <f t="shared" si="27"/>
        <v>5</v>
      </c>
      <c r="CG7" s="40">
        <f t="shared" si="28"/>
        <v>111</v>
      </c>
      <c r="CH7" s="41"/>
      <c r="CI7" s="106" t="s">
        <v>189</v>
      </c>
    </row>
    <row r="8" spans="1:87">
      <c r="A8" s="3"/>
      <c r="B8" s="106" t="s">
        <v>190</v>
      </c>
      <c r="C8" s="150">
        <v>34478</v>
      </c>
      <c r="D8" s="47" t="s">
        <v>19</v>
      </c>
      <c r="E8" s="32">
        <v>175</v>
      </c>
      <c r="F8" s="32">
        <v>59</v>
      </c>
      <c r="G8" s="32">
        <v>77</v>
      </c>
      <c r="H8" s="136">
        <v>1.1579999999999999</v>
      </c>
      <c r="I8" s="151">
        <f t="shared" si="0"/>
        <v>19.26530612244898</v>
      </c>
      <c r="J8" s="43" t="s">
        <v>26</v>
      </c>
      <c r="K8" s="32">
        <f t="shared" si="1"/>
        <v>113.83262678599466</v>
      </c>
      <c r="L8" s="106" t="s">
        <v>190</v>
      </c>
      <c r="M8" s="32">
        <v>184</v>
      </c>
      <c r="N8" s="40">
        <v>4</v>
      </c>
      <c r="O8" s="30">
        <f t="shared" si="2"/>
        <v>3</v>
      </c>
      <c r="P8" s="32">
        <v>4.5</v>
      </c>
      <c r="Q8" s="40">
        <v>17</v>
      </c>
      <c r="R8" s="30">
        <f t="shared" si="3"/>
        <v>5</v>
      </c>
      <c r="S8" s="32">
        <v>10</v>
      </c>
      <c r="T8" s="40">
        <v>10</v>
      </c>
      <c r="U8" s="30">
        <f t="shared" si="4"/>
        <v>5</v>
      </c>
      <c r="V8" s="32">
        <v>1260</v>
      </c>
      <c r="W8" s="40">
        <v>3</v>
      </c>
      <c r="X8" s="30">
        <f t="shared" si="5"/>
        <v>3</v>
      </c>
      <c r="Y8" s="40">
        <f t="shared" si="6"/>
        <v>34</v>
      </c>
      <c r="Z8" s="30">
        <f t="shared" si="7"/>
        <v>5</v>
      </c>
      <c r="AA8" s="41"/>
      <c r="AB8" s="106" t="s">
        <v>190</v>
      </c>
      <c r="AC8" s="32">
        <v>25</v>
      </c>
      <c r="AD8" s="40">
        <v>0</v>
      </c>
      <c r="AE8" s="30">
        <f t="shared" si="8"/>
        <v>2</v>
      </c>
      <c r="AF8" s="32">
        <v>6</v>
      </c>
      <c r="AG8" s="40">
        <v>1</v>
      </c>
      <c r="AH8" s="30">
        <f t="shared" si="9"/>
        <v>3</v>
      </c>
      <c r="AI8" s="32">
        <v>93</v>
      </c>
      <c r="AJ8" s="40">
        <v>0</v>
      </c>
      <c r="AK8" s="30">
        <f t="shared" si="10"/>
        <v>2</v>
      </c>
      <c r="AL8" s="32">
        <v>3</v>
      </c>
      <c r="AM8" s="40">
        <v>0</v>
      </c>
      <c r="AN8" s="30">
        <f t="shared" si="11"/>
        <v>2</v>
      </c>
      <c r="AO8" s="32">
        <v>6</v>
      </c>
      <c r="AP8" s="40">
        <v>6</v>
      </c>
      <c r="AQ8" s="30">
        <f t="shared" si="12"/>
        <v>4</v>
      </c>
      <c r="AR8" s="32"/>
      <c r="AS8" s="40"/>
      <c r="AT8" s="30" t="str">
        <f t="shared" si="13"/>
        <v/>
      </c>
      <c r="AU8" s="40">
        <f t="shared" si="14"/>
        <v>7</v>
      </c>
      <c r="AV8" s="30">
        <f t="shared" si="15"/>
        <v>3</v>
      </c>
      <c r="AW8" s="40">
        <f t="shared" si="16"/>
        <v>41</v>
      </c>
      <c r="AX8" s="41"/>
      <c r="AY8" s="106" t="s">
        <v>190</v>
      </c>
      <c r="AZ8" s="31"/>
      <c r="BA8" s="344"/>
      <c r="BB8" s="30">
        <v>2</v>
      </c>
      <c r="BC8" s="31"/>
      <c r="BD8" s="344"/>
      <c r="BE8" s="30">
        <v>2</v>
      </c>
      <c r="BF8" s="31">
        <v>20</v>
      </c>
      <c r="BG8" s="344">
        <v>20</v>
      </c>
      <c r="BH8" s="30">
        <f t="shared" si="17"/>
        <v>5</v>
      </c>
      <c r="BI8" s="31">
        <v>12</v>
      </c>
      <c r="BJ8" s="344">
        <v>13</v>
      </c>
      <c r="BK8" s="30">
        <f t="shared" si="18"/>
        <v>5</v>
      </c>
      <c r="BL8" s="31">
        <v>4</v>
      </c>
      <c r="BM8" s="344">
        <v>3</v>
      </c>
      <c r="BN8" s="30">
        <f t="shared" si="19"/>
        <v>3</v>
      </c>
      <c r="BO8" s="40">
        <f t="shared" si="20"/>
        <v>36</v>
      </c>
      <c r="BP8" s="30">
        <v>2</v>
      </c>
      <c r="BQ8" s="40">
        <f t="shared" si="21"/>
        <v>77</v>
      </c>
      <c r="BR8" s="41"/>
      <c r="BS8" s="31">
        <v>8.6999999999999993</v>
      </c>
      <c r="BT8" s="344">
        <v>16</v>
      </c>
      <c r="BU8" s="30">
        <f t="shared" si="22"/>
        <v>5</v>
      </c>
      <c r="BV8" s="31">
        <v>11.39</v>
      </c>
      <c r="BW8" s="344">
        <v>1</v>
      </c>
      <c r="BX8" s="30">
        <f t="shared" si="23"/>
        <v>3</v>
      </c>
      <c r="BY8" s="31">
        <v>37</v>
      </c>
      <c r="BZ8" s="344">
        <v>5</v>
      </c>
      <c r="CA8" s="30">
        <f t="shared" si="24"/>
        <v>4</v>
      </c>
      <c r="CB8" s="31">
        <v>19</v>
      </c>
      <c r="CC8" s="344">
        <v>10</v>
      </c>
      <c r="CD8" s="30">
        <f t="shared" si="25"/>
        <v>5</v>
      </c>
      <c r="CE8" s="40">
        <f t="shared" si="26"/>
        <v>32</v>
      </c>
      <c r="CF8" s="30">
        <f t="shared" si="27"/>
        <v>5</v>
      </c>
      <c r="CG8" s="40">
        <f t="shared" si="28"/>
        <v>109</v>
      </c>
      <c r="CH8" s="41"/>
      <c r="CI8" s="106" t="s">
        <v>190</v>
      </c>
    </row>
    <row r="9" spans="1:87">
      <c r="A9" s="3"/>
      <c r="B9" s="144" t="s">
        <v>191</v>
      </c>
      <c r="C9" s="150">
        <v>34627</v>
      </c>
      <c r="D9" s="47" t="s">
        <v>19</v>
      </c>
      <c r="E9" s="32">
        <v>165</v>
      </c>
      <c r="F9" s="32">
        <v>46</v>
      </c>
      <c r="G9" s="32">
        <v>67</v>
      </c>
      <c r="H9" s="136">
        <v>1.1579999999999999</v>
      </c>
      <c r="I9" s="151">
        <f t="shared" si="0"/>
        <v>16.896235078053262</v>
      </c>
      <c r="J9" s="43" t="s">
        <v>82</v>
      </c>
      <c r="K9" s="32">
        <f t="shared" si="1"/>
        <v>126.5370040986776</v>
      </c>
      <c r="L9" s="144" t="s">
        <v>191</v>
      </c>
      <c r="M9" s="32">
        <v>171</v>
      </c>
      <c r="N9" s="40">
        <v>0</v>
      </c>
      <c r="O9" s="30">
        <f t="shared" si="2"/>
        <v>2</v>
      </c>
      <c r="P9" s="32">
        <v>4.7</v>
      </c>
      <c r="Q9" s="40">
        <v>14</v>
      </c>
      <c r="R9" s="30">
        <f t="shared" si="3"/>
        <v>5</v>
      </c>
      <c r="S9" s="32">
        <v>10.6</v>
      </c>
      <c r="T9" s="40">
        <v>3</v>
      </c>
      <c r="U9" s="30">
        <f t="shared" si="4"/>
        <v>3</v>
      </c>
      <c r="V9" s="32">
        <v>1435</v>
      </c>
      <c r="W9" s="40">
        <v>13</v>
      </c>
      <c r="X9" s="30">
        <f t="shared" si="5"/>
        <v>5</v>
      </c>
      <c r="Y9" s="40">
        <f t="shared" si="6"/>
        <v>30</v>
      </c>
      <c r="Z9" s="30">
        <f t="shared" si="7"/>
        <v>5</v>
      </c>
      <c r="AA9" s="41"/>
      <c r="AB9" s="144" t="s">
        <v>191</v>
      </c>
      <c r="AC9" s="32">
        <v>28</v>
      </c>
      <c r="AD9" s="40">
        <v>0</v>
      </c>
      <c r="AE9" s="30">
        <f t="shared" si="8"/>
        <v>2</v>
      </c>
      <c r="AF9" s="32">
        <v>-1</v>
      </c>
      <c r="AG9" s="40">
        <v>0</v>
      </c>
      <c r="AH9" s="30">
        <f t="shared" si="9"/>
        <v>2</v>
      </c>
      <c r="AI9" s="32">
        <v>112</v>
      </c>
      <c r="AJ9" s="40">
        <v>6</v>
      </c>
      <c r="AK9" s="30">
        <f t="shared" si="10"/>
        <v>4</v>
      </c>
      <c r="AL9" s="32">
        <v>1</v>
      </c>
      <c r="AM9" s="40">
        <v>0</v>
      </c>
      <c r="AN9" s="30">
        <f t="shared" si="11"/>
        <v>2</v>
      </c>
      <c r="AO9" s="32">
        <v>1</v>
      </c>
      <c r="AP9" s="40">
        <v>1</v>
      </c>
      <c r="AQ9" s="30">
        <f t="shared" si="12"/>
        <v>3</v>
      </c>
      <c r="AR9" s="32">
        <v>5</v>
      </c>
      <c r="AS9" s="40">
        <v>5</v>
      </c>
      <c r="AT9" s="30">
        <f t="shared" si="13"/>
        <v>4</v>
      </c>
      <c r="AU9" s="40">
        <f t="shared" si="14"/>
        <v>12</v>
      </c>
      <c r="AV9" s="30">
        <f t="shared" si="15"/>
        <v>3</v>
      </c>
      <c r="AW9" s="40">
        <f t="shared" si="16"/>
        <v>42</v>
      </c>
      <c r="AX9" s="41"/>
      <c r="AY9" s="144" t="s">
        <v>191</v>
      </c>
      <c r="AZ9" s="31"/>
      <c r="BA9" s="344"/>
      <c r="BB9" s="30">
        <v>2</v>
      </c>
      <c r="BC9" s="31"/>
      <c r="BD9" s="344"/>
      <c r="BE9" s="30">
        <v>2</v>
      </c>
      <c r="BF9" s="31">
        <v>3</v>
      </c>
      <c r="BG9" s="344">
        <v>0</v>
      </c>
      <c r="BH9" s="30">
        <f t="shared" si="17"/>
        <v>2</v>
      </c>
      <c r="BI9" s="31">
        <v>12.700000000000001</v>
      </c>
      <c r="BJ9" s="344">
        <v>9</v>
      </c>
      <c r="BK9" s="30">
        <f t="shared" si="18"/>
        <v>4</v>
      </c>
      <c r="BL9" s="31">
        <v>2</v>
      </c>
      <c r="BM9" s="344">
        <v>0</v>
      </c>
      <c r="BN9" s="30">
        <f t="shared" si="19"/>
        <v>2</v>
      </c>
      <c r="BO9" s="40">
        <f t="shared" si="20"/>
        <v>9</v>
      </c>
      <c r="BP9" s="30">
        <f>IF(BO9=0,"",IF(BO9&lt;5,2,IF(AND(BO9&gt;=5,BO9&lt;17),3,IF(AND(BO9&gt;=17,BO9&lt;40),4,IF(AND(BO9&gt;=40),5)))))</f>
        <v>3</v>
      </c>
      <c r="BQ9" s="40">
        <f t="shared" si="21"/>
        <v>51</v>
      </c>
      <c r="BR9" s="41"/>
      <c r="BS9" s="31">
        <v>9</v>
      </c>
      <c r="BT9" s="344">
        <v>10</v>
      </c>
      <c r="BU9" s="30">
        <f t="shared" si="22"/>
        <v>5</v>
      </c>
      <c r="BV9" s="31">
        <v>8.59</v>
      </c>
      <c r="BW9" s="344">
        <v>16</v>
      </c>
      <c r="BX9" s="30">
        <f t="shared" si="23"/>
        <v>5</v>
      </c>
      <c r="BY9" s="31">
        <v>37</v>
      </c>
      <c r="BZ9" s="344">
        <v>5</v>
      </c>
      <c r="CA9" s="30">
        <f t="shared" si="24"/>
        <v>4</v>
      </c>
      <c r="CB9" s="31">
        <v>7</v>
      </c>
      <c r="CC9" s="344">
        <v>2</v>
      </c>
      <c r="CD9" s="30">
        <f t="shared" si="25"/>
        <v>3</v>
      </c>
      <c r="CE9" s="40">
        <f t="shared" si="26"/>
        <v>33</v>
      </c>
      <c r="CF9" s="30">
        <f t="shared" si="27"/>
        <v>5</v>
      </c>
      <c r="CG9" s="40">
        <f t="shared" si="28"/>
        <v>84</v>
      </c>
      <c r="CH9" s="41"/>
      <c r="CI9" s="144" t="s">
        <v>191</v>
      </c>
    </row>
    <row r="10" spans="1:87">
      <c r="A10" s="8"/>
      <c r="B10" s="152"/>
      <c r="C10" s="153"/>
      <c r="D10" s="153"/>
      <c r="E10" s="154"/>
      <c r="F10" s="154"/>
      <c r="G10" s="154"/>
      <c r="H10" s="154"/>
      <c r="I10" s="154"/>
      <c r="J10" s="154"/>
      <c r="K10" s="154"/>
      <c r="L10" s="152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155"/>
      <c r="AA10" s="154"/>
      <c r="AB10" s="152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2"/>
      <c r="AZ10" s="156"/>
      <c r="BA10" s="352"/>
      <c r="BB10" s="154"/>
      <c r="BC10" s="154"/>
      <c r="BD10" s="352"/>
      <c r="BE10" s="154"/>
      <c r="BF10" s="154"/>
      <c r="BG10" s="352"/>
      <c r="BH10" s="154"/>
      <c r="BI10" s="154"/>
      <c r="BJ10" s="352"/>
      <c r="BK10" s="154"/>
      <c r="BL10" s="154"/>
      <c r="BM10" s="352"/>
      <c r="BN10" s="154"/>
      <c r="BO10" s="154"/>
      <c r="BP10" s="154"/>
      <c r="BQ10" s="154"/>
      <c r="BR10" s="154"/>
      <c r="BS10" s="154"/>
      <c r="BT10" s="352"/>
      <c r="BU10" s="154"/>
      <c r="BV10" s="154"/>
      <c r="BW10" s="352"/>
      <c r="BX10" s="154"/>
      <c r="BY10" s="154"/>
      <c r="BZ10" s="352"/>
      <c r="CA10" s="154"/>
      <c r="CB10" s="154"/>
      <c r="CC10" s="352"/>
      <c r="CD10" s="154"/>
      <c r="CE10" s="154"/>
      <c r="CF10" s="154"/>
      <c r="CG10" s="154"/>
      <c r="CH10" s="154"/>
      <c r="CI10" s="152"/>
    </row>
    <row r="11" spans="1:87">
      <c r="A11" s="3"/>
      <c r="B11" s="106" t="s">
        <v>192</v>
      </c>
      <c r="C11" s="150">
        <v>34360</v>
      </c>
      <c r="D11" s="47" t="s">
        <v>19</v>
      </c>
      <c r="E11" s="3">
        <v>174</v>
      </c>
      <c r="F11" s="3">
        <v>62</v>
      </c>
      <c r="G11" s="3">
        <v>74</v>
      </c>
      <c r="H11" s="146">
        <v>1.091</v>
      </c>
      <c r="I11" s="151">
        <f t="shared" ref="I11:I16" si="29">F11/(E11/100)^2</f>
        <v>20.478266613819528</v>
      </c>
      <c r="J11" s="43" t="s">
        <v>26</v>
      </c>
      <c r="K11" s="32">
        <f t="shared" ref="K11:K16" si="30">((E11-F11)*E11)/(H11*2*G11)</f>
        <v>120.69264498228752</v>
      </c>
      <c r="L11" s="106" t="s">
        <v>192</v>
      </c>
      <c r="M11" s="3">
        <v>192</v>
      </c>
      <c r="N11" s="97">
        <v>20</v>
      </c>
      <c r="O11" s="30">
        <f t="shared" ref="O11:O16" si="31">IF(M11=0,"",IF(M11&lt;160,2,IF(AND(M11&gt;=160,M11&lt;168),3,IF(AND(M11&gt;=168,M11&lt;175),4,IF(AND(M11&gt;=175),5)))))</f>
        <v>5</v>
      </c>
      <c r="P11" s="3">
        <v>4.4000000000000004</v>
      </c>
      <c r="Q11" s="97">
        <v>20</v>
      </c>
      <c r="R11" s="30">
        <f t="shared" ref="R11:R16" si="32">IF(P11=0,"",IF(P11&gt;6,2,IF(AND(P11&lt;=6,P11&gt;5.7),3,IF(AND(P11&lt;=5.7,P11&gt;5.2),4,IF(AND(P11&lt;=5.2),5)))))</f>
        <v>5</v>
      </c>
      <c r="S11" s="32">
        <v>10.6</v>
      </c>
      <c r="T11" s="40">
        <v>10</v>
      </c>
      <c r="U11" s="30">
        <f t="shared" ref="U11:U16" si="33">IF(S11=0,"",IF(S11&gt;11.5,2,IF(AND(S11&lt;=11.5,S11&gt;11),3,IF(AND(S11&lt;=11,S11&gt;10.6),4,IF(AND(S11&lt;=10.6),5)))))</f>
        <v>5</v>
      </c>
      <c r="V11" s="32">
        <v>1500</v>
      </c>
      <c r="W11" s="40">
        <v>20</v>
      </c>
      <c r="X11" s="30">
        <f t="shared" ref="X11:X16" si="34">IF(V11=0,"",IF(V11&lt;1000,2,IF(AND(V11&gt;=1000,V11&lt;1110),3,IF(AND(V11&gt;=1110,V11&lt;1200),4,IF(AND(V11&gt;=1200),5)))))</f>
        <v>5</v>
      </c>
      <c r="Y11" s="40">
        <f t="shared" ref="Y11:Y16" si="35">SUM(N11,Q11,T11,W11)</f>
        <v>70</v>
      </c>
      <c r="Z11" s="30">
        <f t="shared" ref="Z11:Z16" si="36">IF(Y11=0,"",IF(Y11&lt;4,2,IF(AND(Y11&gt;=4,Y11&lt;16),3,IF(AND(Y11&gt;=16,Y11&lt;30),4,IF(AND(Y11&gt;=30),5)))))</f>
        <v>5</v>
      </c>
      <c r="AA11" s="223">
        <v>5</v>
      </c>
      <c r="AB11" s="106" t="s">
        <v>192</v>
      </c>
      <c r="AC11" s="32">
        <v>35</v>
      </c>
      <c r="AD11" s="40">
        <v>10</v>
      </c>
      <c r="AE11" s="30">
        <f t="shared" ref="AE11:AE16" si="37">IF(AC11=0,"",IF(AC11&lt;25,2,IF(AND(AC11&gt;=25,AC11&lt;30),3,IF(AND(AC11&gt;=30,AC11&lt;35),4,IF(AND(AC11&gt;=35),5)))))</f>
        <v>5</v>
      </c>
      <c r="AF11" s="32">
        <v>25</v>
      </c>
      <c r="AG11" s="40">
        <v>20</v>
      </c>
      <c r="AH11" s="30">
        <f t="shared" ref="AH11:AH16" si="38">IF(AF11=0,"",IF(AF11&lt;8,2,IF(AND(AF11&gt;=8,AF11&lt;12),3,IF(AND(AF11&gt;=12,AF11&lt;16),4,IF(AND(AF11&gt;=16),5)))))</f>
        <v>5</v>
      </c>
      <c r="AI11" s="32">
        <v>138</v>
      </c>
      <c r="AJ11" s="40">
        <v>14</v>
      </c>
      <c r="AK11" s="30">
        <f t="shared" ref="AK11:AK16" si="39">IF(AI11=0,"",IF(AI11&lt;50,2,IF(AND(AI11&gt;=50,AI11&lt;80),3,IF(AND(AI11&gt;=80,AI11&lt;125),4,IF(AND(AI11&gt;=125),5)))))</f>
        <v>5</v>
      </c>
      <c r="AL11" s="32">
        <v>3</v>
      </c>
      <c r="AM11" s="40">
        <v>0</v>
      </c>
      <c r="AN11" s="30">
        <f t="shared" ref="AN11:AN16" si="40">IF(AL11=0,"",IF(AL11&lt;9,2,IF(AND(AL11&gt;=9,AL11&lt;10),3,IF(AND(AL11&gt;=10,AL11&lt;13),4,IF(AND(AL11&gt;=13),5)))))</f>
        <v>2</v>
      </c>
      <c r="AO11" s="32">
        <v>12</v>
      </c>
      <c r="AP11" s="40">
        <v>12</v>
      </c>
      <c r="AQ11" s="30">
        <f t="shared" ref="AQ11:AQ16" si="41">IF(AO11=0,"",IF(AO11&lt;1,2,IF(AND(AO11&gt;=1,AO11&lt;5),3,IF(AND(AO11&gt;=5,AO11&lt;10),4,IF(AND(AO11&gt;=10),5)))))</f>
        <v>5</v>
      </c>
      <c r="AR11" s="32">
        <v>10</v>
      </c>
      <c r="AS11" s="40">
        <v>10</v>
      </c>
      <c r="AT11" s="30">
        <f t="shared" ref="AT11:AT16" si="42">IF(AR11=0,"",IF(AR11&lt;1,2,IF(AND(AR11&gt;=1,AR11&lt;5),3,IF(AND(AR11&gt;=5,AR11&lt;10),4,IF(AND(AR11&gt;=10),5)))))</f>
        <v>5</v>
      </c>
      <c r="AU11" s="40">
        <f t="shared" ref="AU11:AU16" si="43">SUM(AD11,AG11,AJ11,AM11,AP11,AS11)</f>
        <v>66</v>
      </c>
      <c r="AV11" s="30">
        <f t="shared" ref="AV11:AV16" si="44">IF(AU11=0,"",IF(AU11&lt;6,2,IF(AND(AU11&gt;=6,AU11&lt;20),3,IF(AND(AU11&gt;=20,AU11&lt;46),4,IF(AND(AU11&gt;=46),5)))))</f>
        <v>5</v>
      </c>
      <c r="AW11" s="40">
        <f t="shared" ref="AW11:AW16" si="45">SUM(Y11,AU11)</f>
        <v>136</v>
      </c>
      <c r="AX11" s="41"/>
      <c r="AY11" s="106" t="s">
        <v>192</v>
      </c>
      <c r="AZ11" s="31"/>
      <c r="BA11" s="344"/>
      <c r="BB11" s="30">
        <v>3</v>
      </c>
      <c r="BC11" s="31"/>
      <c r="BD11" s="344"/>
      <c r="BE11" s="30">
        <v>3</v>
      </c>
      <c r="BF11" s="31">
        <v>14</v>
      </c>
      <c r="BG11" s="344">
        <v>14</v>
      </c>
      <c r="BH11" s="30">
        <f t="shared" ref="BH11:BH16" si="46">IF(BF11=0,"",IF(BF11&lt;6,2,IF(AND(BF11&gt;=6,BF11&lt;8),3,IF(AND(BF11&gt;=8,BF11&lt;10),4,IF(AND(BF11&gt;=10),5)))))</f>
        <v>5</v>
      </c>
      <c r="BI11" s="31">
        <v>12.9</v>
      </c>
      <c r="BJ11" s="344">
        <v>15</v>
      </c>
      <c r="BK11" s="30">
        <f t="shared" ref="BK11:BK16" si="47">IF(BI11=0,"",IF(BI11&gt;16.6,2,IF(AND(BI11&lt;=16.6,BI11&gt;15.2),3,IF(AND(BI11&lt;=15.2,BI11&gt;14),4,IF(AND(BI11&lt;=14),5)))))</f>
        <v>5</v>
      </c>
      <c r="BL11" s="31">
        <v>1</v>
      </c>
      <c r="BM11" s="344">
        <v>0</v>
      </c>
      <c r="BN11" s="30">
        <f t="shared" ref="BN11:BN16" si="48">IF(BL11=0,"",IF(BL11&lt;2,2,IF(AND(BL11&gt;=2,BL11&lt;3),3,IF(AND(BL11&gt;=3,BL11&lt;5),4,IF(AND(BL11&gt;=5),5)))))</f>
        <v>2</v>
      </c>
      <c r="BO11" s="40">
        <f t="shared" ref="BO11:BO16" si="49">SUM(BA11,BD11,BG11,BJ11,BM11)</f>
        <v>29</v>
      </c>
      <c r="BP11" s="30">
        <f>IF(BO11=0,"",IF(BO11&lt;5,2,IF(AND(BO11&gt;=5,BO11&lt;17),3,IF(AND(BO11&gt;=17,BO11&lt;40),4,IF(AND(BO11&gt;=40),5)))))</f>
        <v>4</v>
      </c>
      <c r="BQ11" s="40">
        <f t="shared" ref="BQ11:BQ16" si="50">SUM(AW11,BO11)</f>
        <v>165</v>
      </c>
      <c r="BR11" s="41"/>
      <c r="BS11" s="31">
        <v>8.6999999999999993</v>
      </c>
      <c r="BT11" s="344">
        <v>20</v>
      </c>
      <c r="BU11" s="30">
        <f t="shared" ref="BU11:BU16" si="51">IF(BS11=0,"",IF(BS11&gt;10.7,2,IF(AND(BS11&lt;=10.7,BS11&gt;10.2),3,IF(AND(BS11&lt;=10.2,BS11&gt;9.7),4,IF(AND(BS11&lt;=9.7),5)))))</f>
        <v>5</v>
      </c>
      <c r="BV11" s="31">
        <v>12.2</v>
      </c>
      <c r="BW11" s="344">
        <v>6</v>
      </c>
      <c r="BX11" s="30">
        <f t="shared" ref="BX11:BX16" si="52">IF(BV11=0,"",IF(BV11&gt;13.5,2,IF(AND(BV11&lt;=13.5,BV11&gt;12.4),3,IF(AND(BV11&lt;=12.4,BV11&gt;11),4,IF(AND(BV11&lt;=11),5)))))</f>
        <v>4</v>
      </c>
      <c r="BY11" s="31">
        <v>22</v>
      </c>
      <c r="BZ11" s="344">
        <v>5</v>
      </c>
      <c r="CA11" s="30">
        <f t="shared" ref="CA11:CA16" si="53">IF(BY11=0,"",IF(BY11&lt;17,2,IF(AND(BY11&gt;=17,BY11&lt;21),3,IF(AND(BY11&gt;=21,BY11&lt;27),4,IF(AND(BY11&gt;=27),5)))))</f>
        <v>4</v>
      </c>
      <c r="CB11" s="31">
        <v>1</v>
      </c>
      <c r="CC11" s="344">
        <v>0</v>
      </c>
      <c r="CD11" s="30">
        <f t="shared" ref="CD11:CD16" si="54">IF(CB11=0,"",IF(CB11&lt;3,2,IF(AND(CB11&gt;=3,CB11&lt;5),3,IF(AND(CB11&gt;=5,CB11&lt;8),4,IF(AND(CB11&gt;=8),5)))))</f>
        <v>2</v>
      </c>
      <c r="CE11" s="40">
        <f t="shared" ref="CE11:CE16" si="55">SUM(BT11,BW11,BZ11,CC11)</f>
        <v>31</v>
      </c>
      <c r="CF11" s="30">
        <f t="shared" ref="CF11:CF16" si="56">IF(CE11=0,"",IF(CE11&lt;4,2,IF(AND(CE11&gt;=4,CE11&lt;16),3,IF(AND(CE11&gt;=16,CE11&lt;30),4,IF(AND(CE11&gt;=30),5)))))</f>
        <v>5</v>
      </c>
      <c r="CG11" s="40">
        <f t="shared" ref="CG11:CG16" si="57">SUM(BQ11,CE11)</f>
        <v>196</v>
      </c>
      <c r="CH11" s="41"/>
      <c r="CI11" s="106" t="s">
        <v>192</v>
      </c>
    </row>
    <row r="12" spans="1:87">
      <c r="A12" s="3"/>
      <c r="B12" s="106" t="s">
        <v>193</v>
      </c>
      <c r="C12" s="150">
        <v>34631</v>
      </c>
      <c r="D12" s="47" t="s">
        <v>77</v>
      </c>
      <c r="E12" s="32">
        <v>171</v>
      </c>
      <c r="F12" s="32">
        <v>55</v>
      </c>
      <c r="G12" s="32">
        <v>68</v>
      </c>
      <c r="H12" s="146">
        <v>1.091</v>
      </c>
      <c r="I12" s="151">
        <f t="shared" si="29"/>
        <v>18.809206251496189</v>
      </c>
      <c r="J12" s="43" t="s">
        <v>30</v>
      </c>
      <c r="K12" s="32">
        <f t="shared" si="30"/>
        <v>133.68738879603171</v>
      </c>
      <c r="L12" s="106" t="s">
        <v>193</v>
      </c>
      <c r="M12" s="32">
        <v>201</v>
      </c>
      <c r="N12" s="40">
        <v>20</v>
      </c>
      <c r="O12" s="30">
        <f t="shared" si="31"/>
        <v>5</v>
      </c>
      <c r="P12" s="32">
        <v>4.8</v>
      </c>
      <c r="Q12" s="40">
        <v>20</v>
      </c>
      <c r="R12" s="30">
        <f t="shared" si="32"/>
        <v>5</v>
      </c>
      <c r="S12" s="32">
        <v>10.4</v>
      </c>
      <c r="T12" s="40">
        <v>14</v>
      </c>
      <c r="U12" s="30">
        <f t="shared" si="33"/>
        <v>5</v>
      </c>
      <c r="V12" s="32">
        <v>1550</v>
      </c>
      <c r="W12" s="40">
        <v>20</v>
      </c>
      <c r="X12" s="30">
        <f t="shared" si="34"/>
        <v>5</v>
      </c>
      <c r="Y12" s="40">
        <f t="shared" si="35"/>
        <v>74</v>
      </c>
      <c r="Z12" s="30">
        <f t="shared" si="36"/>
        <v>5</v>
      </c>
      <c r="AA12" s="223">
        <v>5</v>
      </c>
      <c r="AB12" s="106" t="s">
        <v>193</v>
      </c>
      <c r="AC12" s="32">
        <v>35</v>
      </c>
      <c r="AD12" s="40">
        <v>10</v>
      </c>
      <c r="AE12" s="30">
        <f t="shared" si="37"/>
        <v>5</v>
      </c>
      <c r="AF12" s="32">
        <v>6</v>
      </c>
      <c r="AG12" s="40">
        <v>0</v>
      </c>
      <c r="AH12" s="30">
        <f t="shared" si="38"/>
        <v>2</v>
      </c>
      <c r="AI12" s="32">
        <v>126</v>
      </c>
      <c r="AJ12" s="40">
        <v>11</v>
      </c>
      <c r="AK12" s="30">
        <f t="shared" si="39"/>
        <v>5</v>
      </c>
      <c r="AL12" s="32">
        <v>4</v>
      </c>
      <c r="AM12" s="40">
        <v>0</v>
      </c>
      <c r="AN12" s="30">
        <f t="shared" si="40"/>
        <v>2</v>
      </c>
      <c r="AO12" s="32">
        <v>9</v>
      </c>
      <c r="AP12" s="40">
        <v>9</v>
      </c>
      <c r="AQ12" s="30">
        <f t="shared" si="41"/>
        <v>4</v>
      </c>
      <c r="AR12" s="32">
        <v>10</v>
      </c>
      <c r="AS12" s="40">
        <v>10</v>
      </c>
      <c r="AT12" s="30">
        <f t="shared" si="42"/>
        <v>5</v>
      </c>
      <c r="AU12" s="40">
        <f t="shared" si="43"/>
        <v>40</v>
      </c>
      <c r="AV12" s="30">
        <f t="shared" si="44"/>
        <v>4</v>
      </c>
      <c r="AW12" s="40">
        <f t="shared" si="45"/>
        <v>114</v>
      </c>
      <c r="AX12" s="41"/>
      <c r="AY12" s="106" t="s">
        <v>193</v>
      </c>
      <c r="AZ12" s="31"/>
      <c r="BA12" s="344"/>
      <c r="BB12" s="30">
        <v>2</v>
      </c>
      <c r="BC12" s="31"/>
      <c r="BD12" s="344"/>
      <c r="BE12" s="30">
        <v>2</v>
      </c>
      <c r="BF12" s="31">
        <v>7</v>
      </c>
      <c r="BG12" s="344">
        <v>3</v>
      </c>
      <c r="BH12" s="30">
        <f t="shared" si="46"/>
        <v>3</v>
      </c>
      <c r="BI12" s="31">
        <v>12.200000000000001</v>
      </c>
      <c r="BJ12" s="344">
        <v>20</v>
      </c>
      <c r="BK12" s="30">
        <f t="shared" si="47"/>
        <v>5</v>
      </c>
      <c r="BL12" s="31">
        <v>4</v>
      </c>
      <c r="BM12" s="344">
        <v>8</v>
      </c>
      <c r="BN12" s="30">
        <f t="shared" si="48"/>
        <v>4</v>
      </c>
      <c r="BO12" s="40">
        <f t="shared" si="49"/>
        <v>31</v>
      </c>
      <c r="BP12" s="30">
        <v>3</v>
      </c>
      <c r="BQ12" s="40">
        <f t="shared" si="50"/>
        <v>145</v>
      </c>
      <c r="BR12" s="41"/>
      <c r="BS12" s="31">
        <v>9.5</v>
      </c>
      <c r="BT12" s="344">
        <v>14</v>
      </c>
      <c r="BU12" s="30">
        <f t="shared" si="51"/>
        <v>5</v>
      </c>
      <c r="BV12" s="31">
        <v>12</v>
      </c>
      <c r="BW12" s="344">
        <v>7</v>
      </c>
      <c r="BX12" s="30">
        <f t="shared" si="52"/>
        <v>4</v>
      </c>
      <c r="BY12" s="31">
        <v>20</v>
      </c>
      <c r="BZ12" s="344">
        <v>4</v>
      </c>
      <c r="CA12" s="30">
        <f t="shared" si="53"/>
        <v>3</v>
      </c>
      <c r="CB12" s="31">
        <v>13</v>
      </c>
      <c r="CC12" s="344">
        <v>20</v>
      </c>
      <c r="CD12" s="30">
        <f t="shared" si="54"/>
        <v>5</v>
      </c>
      <c r="CE12" s="40">
        <f t="shared" si="55"/>
        <v>45</v>
      </c>
      <c r="CF12" s="30">
        <f t="shared" si="56"/>
        <v>5</v>
      </c>
      <c r="CG12" s="40">
        <f t="shared" si="57"/>
        <v>190</v>
      </c>
      <c r="CH12" s="41"/>
      <c r="CI12" s="106" t="s">
        <v>193</v>
      </c>
    </row>
    <row r="13" spans="1:87">
      <c r="A13" s="3"/>
      <c r="B13" s="62" t="s">
        <v>194</v>
      </c>
      <c r="C13" s="150">
        <v>34415</v>
      </c>
      <c r="D13" s="47" t="s">
        <v>19</v>
      </c>
      <c r="E13" s="45">
        <v>162</v>
      </c>
      <c r="F13" s="45">
        <v>57</v>
      </c>
      <c r="G13" s="45">
        <v>76</v>
      </c>
      <c r="H13" s="146">
        <v>1.091</v>
      </c>
      <c r="I13" s="151">
        <f t="shared" si="29"/>
        <v>21.719250114311837</v>
      </c>
      <c r="J13" s="43" t="s">
        <v>24</v>
      </c>
      <c r="K13" s="32">
        <f t="shared" si="30"/>
        <v>102.57368903468571</v>
      </c>
      <c r="L13" s="62" t="s">
        <v>194</v>
      </c>
      <c r="M13" s="45">
        <v>174</v>
      </c>
      <c r="N13" s="66">
        <v>9</v>
      </c>
      <c r="O13" s="30">
        <f t="shared" si="31"/>
        <v>4</v>
      </c>
      <c r="P13" s="45">
        <v>4.5999999999999996</v>
      </c>
      <c r="Q13" s="66">
        <v>20</v>
      </c>
      <c r="R13" s="30">
        <f t="shared" si="32"/>
        <v>5</v>
      </c>
      <c r="S13" s="45">
        <v>10.9</v>
      </c>
      <c r="T13" s="66">
        <v>6</v>
      </c>
      <c r="U13" s="30">
        <f t="shared" si="33"/>
        <v>4</v>
      </c>
      <c r="V13" s="45">
        <v>1340</v>
      </c>
      <c r="W13" s="66">
        <v>20</v>
      </c>
      <c r="X13" s="30">
        <f t="shared" si="34"/>
        <v>5</v>
      </c>
      <c r="Y13" s="40">
        <f t="shared" si="35"/>
        <v>55</v>
      </c>
      <c r="Z13" s="30">
        <f t="shared" si="36"/>
        <v>5</v>
      </c>
      <c r="AA13" s="41"/>
      <c r="AB13" s="62" t="s">
        <v>194</v>
      </c>
      <c r="AC13" s="32">
        <v>37</v>
      </c>
      <c r="AD13" s="40">
        <v>14</v>
      </c>
      <c r="AE13" s="30">
        <f t="shared" si="37"/>
        <v>5</v>
      </c>
      <c r="AF13" s="32">
        <v>-1</v>
      </c>
      <c r="AG13" s="40">
        <v>0</v>
      </c>
      <c r="AH13" s="30">
        <f t="shared" si="38"/>
        <v>2</v>
      </c>
      <c r="AI13" s="32">
        <v>119</v>
      </c>
      <c r="AJ13" s="40">
        <v>8</v>
      </c>
      <c r="AK13" s="30">
        <f t="shared" si="39"/>
        <v>4</v>
      </c>
      <c r="AL13" s="32">
        <v>3</v>
      </c>
      <c r="AM13" s="40">
        <v>0</v>
      </c>
      <c r="AN13" s="30">
        <f t="shared" si="40"/>
        <v>2</v>
      </c>
      <c r="AO13" s="32">
        <v>14</v>
      </c>
      <c r="AP13" s="40">
        <v>14</v>
      </c>
      <c r="AQ13" s="30">
        <f t="shared" si="41"/>
        <v>5</v>
      </c>
      <c r="AR13" s="32">
        <v>10</v>
      </c>
      <c r="AS13" s="40">
        <v>10</v>
      </c>
      <c r="AT13" s="30">
        <f t="shared" si="42"/>
        <v>5</v>
      </c>
      <c r="AU13" s="40">
        <f t="shared" si="43"/>
        <v>46</v>
      </c>
      <c r="AV13" s="30">
        <f t="shared" si="44"/>
        <v>5</v>
      </c>
      <c r="AW13" s="40">
        <f t="shared" si="45"/>
        <v>101</v>
      </c>
      <c r="AX13" s="41"/>
      <c r="AY13" s="62" t="s">
        <v>194</v>
      </c>
      <c r="AZ13" s="65"/>
      <c r="BA13" s="343"/>
      <c r="BB13" s="30">
        <v>2</v>
      </c>
      <c r="BC13" s="65"/>
      <c r="BD13" s="343"/>
      <c r="BE13" s="30">
        <v>2</v>
      </c>
      <c r="BF13" s="65">
        <v>19</v>
      </c>
      <c r="BG13" s="343">
        <v>19</v>
      </c>
      <c r="BH13" s="30">
        <f t="shared" si="46"/>
        <v>5</v>
      </c>
      <c r="BI13" s="65">
        <v>14</v>
      </c>
      <c r="BJ13" s="343">
        <v>10</v>
      </c>
      <c r="BK13" s="30">
        <f t="shared" si="47"/>
        <v>5</v>
      </c>
      <c r="BL13" s="65">
        <v>3</v>
      </c>
      <c r="BM13" s="343">
        <v>4</v>
      </c>
      <c r="BN13" s="30">
        <f t="shared" si="48"/>
        <v>4</v>
      </c>
      <c r="BO13" s="40">
        <f t="shared" si="49"/>
        <v>33</v>
      </c>
      <c r="BP13" s="30">
        <v>3</v>
      </c>
      <c r="BQ13" s="40">
        <f t="shared" si="50"/>
        <v>134</v>
      </c>
      <c r="BR13" s="41"/>
      <c r="BS13" s="65">
        <v>9.3000000000000007</v>
      </c>
      <c r="BT13" s="343">
        <v>17</v>
      </c>
      <c r="BU13" s="30">
        <f t="shared" si="51"/>
        <v>5</v>
      </c>
      <c r="BV13" s="65">
        <v>13.45</v>
      </c>
      <c r="BW13" s="343">
        <v>1</v>
      </c>
      <c r="BX13" s="30">
        <f t="shared" si="52"/>
        <v>3</v>
      </c>
      <c r="BY13" s="65">
        <v>26</v>
      </c>
      <c r="BZ13" s="343">
        <v>9</v>
      </c>
      <c r="CA13" s="30">
        <f t="shared" si="53"/>
        <v>4</v>
      </c>
      <c r="CB13" s="65">
        <v>5</v>
      </c>
      <c r="CC13" s="343">
        <v>5</v>
      </c>
      <c r="CD13" s="30">
        <f t="shared" si="54"/>
        <v>4</v>
      </c>
      <c r="CE13" s="40">
        <f t="shared" si="55"/>
        <v>32</v>
      </c>
      <c r="CF13" s="30">
        <f t="shared" si="56"/>
        <v>5</v>
      </c>
      <c r="CG13" s="40">
        <f t="shared" si="57"/>
        <v>166</v>
      </c>
      <c r="CH13" s="41"/>
      <c r="CI13" s="62" t="s">
        <v>194</v>
      </c>
    </row>
    <row r="14" spans="1:87" ht="14.25" customHeight="1">
      <c r="A14" s="3"/>
      <c r="B14" s="106" t="s">
        <v>195</v>
      </c>
      <c r="C14" s="150">
        <v>34748</v>
      </c>
      <c r="D14" s="47" t="s">
        <v>19</v>
      </c>
      <c r="E14" s="32">
        <v>168</v>
      </c>
      <c r="F14" s="32">
        <v>48</v>
      </c>
      <c r="G14" s="32">
        <v>66</v>
      </c>
      <c r="H14" s="146">
        <v>1.121</v>
      </c>
      <c r="I14" s="151">
        <f t="shared" si="29"/>
        <v>17.006802721088437</v>
      </c>
      <c r="J14" s="43" t="s">
        <v>82</v>
      </c>
      <c r="K14" s="32">
        <f t="shared" si="30"/>
        <v>136.24199172816478</v>
      </c>
      <c r="L14" s="106" t="s">
        <v>195</v>
      </c>
      <c r="M14" s="32">
        <v>191</v>
      </c>
      <c r="N14" s="40">
        <v>20</v>
      </c>
      <c r="O14" s="30">
        <f t="shared" si="31"/>
        <v>5</v>
      </c>
      <c r="P14" s="32">
        <v>5</v>
      </c>
      <c r="Q14" s="40">
        <v>14</v>
      </c>
      <c r="R14" s="30">
        <f t="shared" si="32"/>
        <v>5</v>
      </c>
      <c r="S14" s="32">
        <v>10.700000000000001</v>
      </c>
      <c r="T14" s="40">
        <v>8</v>
      </c>
      <c r="U14" s="30">
        <f t="shared" si="33"/>
        <v>4</v>
      </c>
      <c r="V14" s="32">
        <v>1200</v>
      </c>
      <c r="W14" s="40">
        <v>10</v>
      </c>
      <c r="X14" s="30">
        <f t="shared" si="34"/>
        <v>5</v>
      </c>
      <c r="Y14" s="40">
        <f t="shared" si="35"/>
        <v>52</v>
      </c>
      <c r="Z14" s="30">
        <f t="shared" si="36"/>
        <v>5</v>
      </c>
      <c r="AA14" s="41"/>
      <c r="AB14" s="106" t="s">
        <v>195</v>
      </c>
      <c r="AC14" s="32">
        <v>36</v>
      </c>
      <c r="AD14" s="40">
        <v>12</v>
      </c>
      <c r="AE14" s="30">
        <f t="shared" si="37"/>
        <v>5</v>
      </c>
      <c r="AF14" s="32">
        <v>14</v>
      </c>
      <c r="AG14" s="40">
        <v>8</v>
      </c>
      <c r="AH14" s="30">
        <f t="shared" si="38"/>
        <v>4</v>
      </c>
      <c r="AI14" s="32">
        <v>98</v>
      </c>
      <c r="AJ14" s="40">
        <v>6</v>
      </c>
      <c r="AK14" s="30">
        <f t="shared" si="39"/>
        <v>4</v>
      </c>
      <c r="AL14" s="32">
        <v>3</v>
      </c>
      <c r="AM14" s="40">
        <v>0</v>
      </c>
      <c r="AN14" s="30">
        <f t="shared" si="40"/>
        <v>2</v>
      </c>
      <c r="AO14" s="32">
        <v>13</v>
      </c>
      <c r="AP14" s="40">
        <v>13</v>
      </c>
      <c r="AQ14" s="30">
        <f t="shared" si="41"/>
        <v>5</v>
      </c>
      <c r="AR14" s="32">
        <v>10</v>
      </c>
      <c r="AS14" s="40">
        <v>10</v>
      </c>
      <c r="AT14" s="30">
        <f t="shared" si="42"/>
        <v>5</v>
      </c>
      <c r="AU14" s="40">
        <f t="shared" si="43"/>
        <v>49</v>
      </c>
      <c r="AV14" s="30">
        <f t="shared" si="44"/>
        <v>5</v>
      </c>
      <c r="AW14" s="40">
        <f t="shared" si="45"/>
        <v>101</v>
      </c>
      <c r="AX14" s="41"/>
      <c r="AY14" s="106" t="s">
        <v>195</v>
      </c>
      <c r="AZ14" s="31"/>
      <c r="BA14" s="344"/>
      <c r="BB14" s="30">
        <v>2</v>
      </c>
      <c r="BC14" s="31"/>
      <c r="BD14" s="344"/>
      <c r="BE14" s="30">
        <v>2</v>
      </c>
      <c r="BF14" s="31"/>
      <c r="BG14" s="344"/>
      <c r="BH14" s="30" t="str">
        <f t="shared" si="46"/>
        <v/>
      </c>
      <c r="BI14" s="31"/>
      <c r="BJ14" s="344"/>
      <c r="BK14" s="30" t="str">
        <f t="shared" si="47"/>
        <v/>
      </c>
      <c r="BL14" s="31"/>
      <c r="BM14" s="344"/>
      <c r="BN14" s="30" t="str">
        <f t="shared" si="48"/>
        <v/>
      </c>
      <c r="BO14" s="40">
        <f t="shared" si="49"/>
        <v>0</v>
      </c>
      <c r="BP14" s="30">
        <v>2</v>
      </c>
      <c r="BQ14" s="40">
        <f t="shared" si="50"/>
        <v>101</v>
      </c>
      <c r="BR14" s="41"/>
      <c r="BS14" s="31">
        <v>9.6999999999999993</v>
      </c>
      <c r="BT14" s="344">
        <v>10</v>
      </c>
      <c r="BU14" s="30">
        <f t="shared" si="51"/>
        <v>5</v>
      </c>
      <c r="BV14" s="31">
        <v>15.36</v>
      </c>
      <c r="BW14" s="344">
        <v>0</v>
      </c>
      <c r="BX14" s="30">
        <f t="shared" si="52"/>
        <v>2</v>
      </c>
      <c r="BY14" s="31">
        <v>21</v>
      </c>
      <c r="BZ14" s="344">
        <v>5</v>
      </c>
      <c r="CA14" s="30">
        <f t="shared" si="53"/>
        <v>4</v>
      </c>
      <c r="CB14" s="31">
        <v>5</v>
      </c>
      <c r="CC14" s="344">
        <v>5</v>
      </c>
      <c r="CD14" s="30">
        <f t="shared" si="54"/>
        <v>4</v>
      </c>
      <c r="CE14" s="40">
        <f t="shared" si="55"/>
        <v>20</v>
      </c>
      <c r="CF14" s="30">
        <f t="shared" si="56"/>
        <v>4</v>
      </c>
      <c r="CG14" s="40">
        <f t="shared" si="57"/>
        <v>121</v>
      </c>
      <c r="CH14" s="41"/>
      <c r="CI14" s="106" t="s">
        <v>195</v>
      </c>
    </row>
    <row r="15" spans="1:87">
      <c r="A15" s="3"/>
      <c r="B15" s="106" t="s">
        <v>196</v>
      </c>
      <c r="C15" s="150">
        <v>34621</v>
      </c>
      <c r="D15" s="47" t="s">
        <v>19</v>
      </c>
      <c r="E15" s="32">
        <v>160</v>
      </c>
      <c r="F15" s="32">
        <v>39</v>
      </c>
      <c r="G15" s="32">
        <v>61</v>
      </c>
      <c r="H15" s="136">
        <v>1.091</v>
      </c>
      <c r="I15" s="151">
        <f t="shared" si="29"/>
        <v>15.234374999999996</v>
      </c>
      <c r="J15" s="43" t="s">
        <v>82</v>
      </c>
      <c r="K15" s="32">
        <f t="shared" si="30"/>
        <v>145.45235984432992</v>
      </c>
      <c r="L15" s="106" t="s">
        <v>196</v>
      </c>
      <c r="M15" s="32">
        <v>151</v>
      </c>
      <c r="N15" s="40">
        <v>0</v>
      </c>
      <c r="O15" s="30">
        <f t="shared" si="31"/>
        <v>2</v>
      </c>
      <c r="P15" s="32">
        <v>5.0999999999999996</v>
      </c>
      <c r="Q15" s="40">
        <v>12</v>
      </c>
      <c r="R15" s="30">
        <f t="shared" si="32"/>
        <v>5</v>
      </c>
      <c r="S15" s="32">
        <v>10.8</v>
      </c>
      <c r="T15" s="40">
        <v>7</v>
      </c>
      <c r="U15" s="30">
        <f t="shared" si="33"/>
        <v>4</v>
      </c>
      <c r="V15" s="32">
        <v>1300</v>
      </c>
      <c r="W15" s="40">
        <v>20</v>
      </c>
      <c r="X15" s="30">
        <f t="shared" si="34"/>
        <v>5</v>
      </c>
      <c r="Y15" s="40">
        <f t="shared" si="35"/>
        <v>39</v>
      </c>
      <c r="Z15" s="30">
        <f t="shared" si="36"/>
        <v>5</v>
      </c>
      <c r="AA15" s="41"/>
      <c r="AB15" s="106" t="s">
        <v>196</v>
      </c>
      <c r="AC15" s="45">
        <v>40</v>
      </c>
      <c r="AD15" s="66">
        <v>20</v>
      </c>
      <c r="AE15" s="30">
        <f t="shared" si="37"/>
        <v>5</v>
      </c>
      <c r="AF15" s="45">
        <v>-14</v>
      </c>
      <c r="AG15" s="66">
        <v>0</v>
      </c>
      <c r="AH15" s="30">
        <f t="shared" si="38"/>
        <v>2</v>
      </c>
      <c r="AI15" s="45">
        <v>120</v>
      </c>
      <c r="AJ15" s="66">
        <v>9</v>
      </c>
      <c r="AK15" s="30">
        <f t="shared" si="39"/>
        <v>4</v>
      </c>
      <c r="AL15" s="45">
        <v>2</v>
      </c>
      <c r="AM15" s="66">
        <v>0</v>
      </c>
      <c r="AN15" s="30">
        <f t="shared" si="40"/>
        <v>2</v>
      </c>
      <c r="AO15" s="45">
        <v>3</v>
      </c>
      <c r="AP15" s="66">
        <v>3</v>
      </c>
      <c r="AQ15" s="30">
        <f t="shared" si="41"/>
        <v>3</v>
      </c>
      <c r="AR15" s="32">
        <v>1</v>
      </c>
      <c r="AS15" s="66">
        <v>1</v>
      </c>
      <c r="AT15" s="30">
        <f t="shared" si="42"/>
        <v>3</v>
      </c>
      <c r="AU15" s="40">
        <f t="shared" si="43"/>
        <v>33</v>
      </c>
      <c r="AV15" s="30">
        <f t="shared" si="44"/>
        <v>4</v>
      </c>
      <c r="AW15" s="40">
        <f t="shared" si="45"/>
        <v>72</v>
      </c>
      <c r="AX15" s="41"/>
      <c r="AY15" s="106" t="s">
        <v>196</v>
      </c>
      <c r="AZ15" s="31"/>
      <c r="BA15" s="344"/>
      <c r="BB15" s="30">
        <v>3</v>
      </c>
      <c r="BC15" s="31"/>
      <c r="BD15" s="344"/>
      <c r="BE15" s="30">
        <v>3</v>
      </c>
      <c r="BF15" s="31">
        <v>6</v>
      </c>
      <c r="BG15" s="344">
        <v>1</v>
      </c>
      <c r="BH15" s="30">
        <f t="shared" si="46"/>
        <v>3</v>
      </c>
      <c r="BI15" s="31">
        <v>12.6</v>
      </c>
      <c r="BJ15" s="344">
        <v>18</v>
      </c>
      <c r="BK15" s="30">
        <f t="shared" si="47"/>
        <v>5</v>
      </c>
      <c r="BL15" s="31">
        <v>4</v>
      </c>
      <c r="BM15" s="344">
        <v>8</v>
      </c>
      <c r="BN15" s="30">
        <f t="shared" si="48"/>
        <v>4</v>
      </c>
      <c r="BO15" s="40">
        <f t="shared" si="49"/>
        <v>27</v>
      </c>
      <c r="BP15" s="30">
        <f>IF(BO15=0,"",IF(BO15&lt;5,2,IF(AND(BO15&gt;=5,BO15&lt;17),3,IF(AND(BO15&gt;=17,BO15&lt;40),4,IF(AND(BO15&gt;=40),5)))))</f>
        <v>4</v>
      </c>
      <c r="BQ15" s="40">
        <f t="shared" si="50"/>
        <v>99</v>
      </c>
      <c r="BR15" s="41"/>
      <c r="BS15" s="31">
        <v>9.5</v>
      </c>
      <c r="BT15" s="344">
        <v>14</v>
      </c>
      <c r="BU15" s="30">
        <f t="shared" si="51"/>
        <v>5</v>
      </c>
      <c r="BV15" s="31">
        <v>12.55</v>
      </c>
      <c r="BW15" s="344">
        <v>4</v>
      </c>
      <c r="BX15" s="30">
        <f t="shared" si="52"/>
        <v>3</v>
      </c>
      <c r="BY15" s="31">
        <v>18</v>
      </c>
      <c r="BZ15" s="344">
        <v>2</v>
      </c>
      <c r="CA15" s="30">
        <f t="shared" si="53"/>
        <v>3</v>
      </c>
      <c r="CB15" s="31">
        <v>1</v>
      </c>
      <c r="CC15" s="344">
        <v>0</v>
      </c>
      <c r="CD15" s="30">
        <f t="shared" si="54"/>
        <v>2</v>
      </c>
      <c r="CE15" s="40">
        <f t="shared" si="55"/>
        <v>20</v>
      </c>
      <c r="CF15" s="30">
        <f t="shared" si="56"/>
        <v>4</v>
      </c>
      <c r="CG15" s="40">
        <f t="shared" si="57"/>
        <v>119</v>
      </c>
      <c r="CH15" s="41"/>
      <c r="CI15" s="106" t="s">
        <v>196</v>
      </c>
    </row>
    <row r="16" spans="1:87">
      <c r="A16" s="104"/>
      <c r="B16" s="124" t="s">
        <v>197</v>
      </c>
      <c r="C16" s="150">
        <v>34445</v>
      </c>
      <c r="D16" s="47" t="s">
        <v>19</v>
      </c>
      <c r="E16" s="32">
        <v>162</v>
      </c>
      <c r="F16" s="32">
        <v>55</v>
      </c>
      <c r="G16" s="32">
        <v>77</v>
      </c>
      <c r="H16" s="146">
        <v>1.091</v>
      </c>
      <c r="I16" s="151">
        <f t="shared" si="29"/>
        <v>20.957171162932475</v>
      </c>
      <c r="J16" s="43" t="s">
        <v>26</v>
      </c>
      <c r="K16" s="32">
        <f t="shared" si="30"/>
        <v>103.16997393074388</v>
      </c>
      <c r="L16" s="81" t="s">
        <v>197</v>
      </c>
      <c r="M16" s="32">
        <v>162</v>
      </c>
      <c r="N16" s="40">
        <v>2</v>
      </c>
      <c r="O16" s="30">
        <f t="shared" si="31"/>
        <v>3</v>
      </c>
      <c r="P16" s="32">
        <v>5.2</v>
      </c>
      <c r="Q16" s="40">
        <v>10</v>
      </c>
      <c r="R16" s="30">
        <f t="shared" si="32"/>
        <v>5</v>
      </c>
      <c r="S16" s="32">
        <v>10.700000000000001</v>
      </c>
      <c r="T16" s="40">
        <v>8</v>
      </c>
      <c r="U16" s="30">
        <f t="shared" si="33"/>
        <v>4</v>
      </c>
      <c r="V16" s="32">
        <v>1350</v>
      </c>
      <c r="W16" s="40">
        <v>20</v>
      </c>
      <c r="X16" s="30">
        <f t="shared" si="34"/>
        <v>5</v>
      </c>
      <c r="Y16" s="40">
        <f t="shared" si="35"/>
        <v>40</v>
      </c>
      <c r="Z16" s="30">
        <f t="shared" si="36"/>
        <v>5</v>
      </c>
      <c r="AA16" s="41"/>
      <c r="AB16" s="81" t="s">
        <v>197</v>
      </c>
      <c r="AC16" s="45">
        <v>35</v>
      </c>
      <c r="AD16" s="66">
        <v>10</v>
      </c>
      <c r="AE16" s="30">
        <f t="shared" si="37"/>
        <v>5</v>
      </c>
      <c r="AF16" s="45">
        <v>12</v>
      </c>
      <c r="AG16" s="66">
        <v>5</v>
      </c>
      <c r="AH16" s="30">
        <f t="shared" si="38"/>
        <v>4</v>
      </c>
      <c r="AI16" s="45">
        <v>80</v>
      </c>
      <c r="AJ16" s="66">
        <v>5</v>
      </c>
      <c r="AK16" s="30">
        <f t="shared" si="39"/>
        <v>4</v>
      </c>
      <c r="AL16" s="45">
        <v>9</v>
      </c>
      <c r="AM16" s="66">
        <v>1</v>
      </c>
      <c r="AN16" s="30">
        <f t="shared" si="40"/>
        <v>3</v>
      </c>
      <c r="AO16" s="45">
        <v>8</v>
      </c>
      <c r="AP16" s="66">
        <v>8</v>
      </c>
      <c r="AQ16" s="30">
        <f t="shared" si="41"/>
        <v>4</v>
      </c>
      <c r="AR16" s="32">
        <v>10</v>
      </c>
      <c r="AS16" s="66">
        <v>10</v>
      </c>
      <c r="AT16" s="30">
        <f t="shared" si="42"/>
        <v>5</v>
      </c>
      <c r="AU16" s="40">
        <f t="shared" si="43"/>
        <v>39</v>
      </c>
      <c r="AV16" s="30">
        <f t="shared" si="44"/>
        <v>4</v>
      </c>
      <c r="AW16" s="40">
        <f t="shared" si="45"/>
        <v>79</v>
      </c>
      <c r="AX16" s="41"/>
      <c r="AY16" s="81" t="s">
        <v>197</v>
      </c>
      <c r="AZ16" s="31"/>
      <c r="BA16" s="344"/>
      <c r="BB16" s="30">
        <v>2</v>
      </c>
      <c r="BC16" s="31"/>
      <c r="BD16" s="344"/>
      <c r="BE16" s="30">
        <v>2</v>
      </c>
      <c r="BF16" s="31">
        <v>8</v>
      </c>
      <c r="BG16" s="344">
        <v>5</v>
      </c>
      <c r="BH16" s="30">
        <f t="shared" si="46"/>
        <v>4</v>
      </c>
      <c r="BI16" s="31">
        <v>15.6</v>
      </c>
      <c r="BJ16" s="344">
        <v>3</v>
      </c>
      <c r="BK16" s="30">
        <f t="shared" si="47"/>
        <v>3</v>
      </c>
      <c r="BL16" s="31">
        <v>0</v>
      </c>
      <c r="BM16" s="344">
        <v>0</v>
      </c>
      <c r="BN16" s="30" t="str">
        <f t="shared" si="48"/>
        <v/>
      </c>
      <c r="BO16" s="40">
        <f t="shared" si="49"/>
        <v>8</v>
      </c>
      <c r="BP16" s="30">
        <f>IF(BO16=0,"",IF(BO16&lt;5,2,IF(AND(BO16&gt;=5,BO16&lt;17),3,IF(AND(BO16&gt;=17,BO16&lt;40),4,IF(AND(BO16&gt;=40),5)))))</f>
        <v>3</v>
      </c>
      <c r="BQ16" s="40">
        <f t="shared" si="50"/>
        <v>87</v>
      </c>
      <c r="BR16" s="41"/>
      <c r="BS16" s="31">
        <v>10.1</v>
      </c>
      <c r="BT16" s="344">
        <v>6</v>
      </c>
      <c r="BU16" s="30">
        <f t="shared" si="51"/>
        <v>4</v>
      </c>
      <c r="BV16" s="31">
        <v>15.21</v>
      </c>
      <c r="BW16" s="344">
        <v>0</v>
      </c>
      <c r="BX16" s="30">
        <f t="shared" si="52"/>
        <v>2</v>
      </c>
      <c r="BY16" s="31">
        <v>20</v>
      </c>
      <c r="BZ16" s="344">
        <v>4</v>
      </c>
      <c r="CA16" s="30">
        <f t="shared" si="53"/>
        <v>3</v>
      </c>
      <c r="CB16" s="31">
        <v>7</v>
      </c>
      <c r="CC16" s="344">
        <v>9</v>
      </c>
      <c r="CD16" s="30">
        <f t="shared" si="54"/>
        <v>4</v>
      </c>
      <c r="CE16" s="40">
        <f t="shared" si="55"/>
        <v>19</v>
      </c>
      <c r="CF16" s="30">
        <f t="shared" si="56"/>
        <v>4</v>
      </c>
      <c r="CG16" s="40">
        <f t="shared" si="57"/>
        <v>106</v>
      </c>
      <c r="CH16" s="41"/>
      <c r="CI16" s="32" t="s">
        <v>197</v>
      </c>
    </row>
    <row r="17" spans="1:87">
      <c r="A17" s="334"/>
      <c r="B17" s="335"/>
      <c r="C17" s="110"/>
      <c r="D17" s="110"/>
      <c r="E17" s="170"/>
      <c r="F17" s="170"/>
      <c r="G17" s="170"/>
      <c r="H17" s="170"/>
      <c r="I17" s="170"/>
      <c r="J17" s="170"/>
      <c r="K17" s="170"/>
      <c r="L17" s="157"/>
      <c r="M17" s="158"/>
      <c r="N17" s="158"/>
      <c r="O17" s="37"/>
      <c r="P17" s="158"/>
      <c r="Q17" s="158"/>
      <c r="R17" s="37"/>
      <c r="S17" s="158"/>
      <c r="T17" s="158"/>
      <c r="U17" s="37"/>
      <c r="V17" s="158"/>
      <c r="W17" s="158"/>
      <c r="X17" s="37"/>
      <c r="Y17" s="158"/>
      <c r="Z17" s="37"/>
      <c r="AA17" s="125"/>
      <c r="AB17" s="81"/>
      <c r="AC17" s="81"/>
      <c r="AD17" s="110"/>
      <c r="AE17" s="125"/>
      <c r="AF17" s="110"/>
      <c r="AG17" s="110"/>
      <c r="AH17" s="125"/>
      <c r="AI17" s="110"/>
      <c r="AJ17" s="110"/>
      <c r="AK17" s="125"/>
      <c r="AL17" s="110"/>
      <c r="AM17" s="110"/>
      <c r="AN17" s="125"/>
      <c r="AO17" s="110"/>
      <c r="AP17" s="110"/>
      <c r="AQ17" s="125"/>
      <c r="AR17" s="110"/>
      <c r="AS17" s="110"/>
      <c r="AT17" s="125"/>
      <c r="AU17" s="110"/>
      <c r="AV17" s="125"/>
      <c r="AW17" s="110"/>
      <c r="AX17" s="110"/>
      <c r="AY17" s="110"/>
      <c r="AZ17" s="159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106"/>
    </row>
    <row r="18" spans="1:87">
      <c r="A18" s="336"/>
      <c r="B18" s="337"/>
      <c r="C18" s="35" t="s">
        <v>19</v>
      </c>
      <c r="D18" s="248">
        <f>COUNTIF(D3:D16,"осн.")</f>
        <v>9</v>
      </c>
      <c r="E18" s="249"/>
      <c r="F18" s="217"/>
      <c r="G18" s="217"/>
      <c r="H18" s="217"/>
      <c r="I18" s="217"/>
      <c r="J18" s="217"/>
      <c r="K18" s="228"/>
      <c r="L18" s="62" t="s">
        <v>18</v>
      </c>
      <c r="M18" s="45"/>
      <c r="N18" s="45"/>
      <c r="O18" s="30">
        <f>AVERAGE(O3:O16)</f>
        <v>3.9230769230769229</v>
      </c>
      <c r="P18" s="45"/>
      <c r="Q18" s="45"/>
      <c r="R18" s="30">
        <f>AVERAGE(R3:R16)</f>
        <v>5</v>
      </c>
      <c r="S18" s="45"/>
      <c r="T18" s="45"/>
      <c r="U18" s="30">
        <f>AVERAGE(U3:U16)</f>
        <v>4.384615384615385</v>
      </c>
      <c r="V18" s="45"/>
      <c r="W18" s="45"/>
      <c r="X18" s="30">
        <f>AVERAGE(X3:X16)</f>
        <v>4.6923076923076925</v>
      </c>
      <c r="Y18" s="45"/>
      <c r="Z18" s="30">
        <f>AVERAGE(O18:X18)</f>
        <v>4.5</v>
      </c>
      <c r="AA18" s="33"/>
      <c r="AB18" s="45" t="s">
        <v>18</v>
      </c>
      <c r="AC18" s="45"/>
      <c r="AD18" s="45"/>
      <c r="AE18" s="30">
        <f>AVERAGE(AE3:AE16)</f>
        <v>3.7692307692307692</v>
      </c>
      <c r="AF18" s="45"/>
      <c r="AG18" s="45"/>
      <c r="AH18" s="30">
        <f>AVERAGE(AH3:AH16)</f>
        <v>3.1538461538461537</v>
      </c>
      <c r="AI18" s="45"/>
      <c r="AJ18" s="45"/>
      <c r="AK18" s="30">
        <f>AVERAGE(AK3:AK16)</f>
        <v>3.8461538461538463</v>
      </c>
      <c r="AL18" s="45"/>
      <c r="AM18" s="45"/>
      <c r="AN18" s="30">
        <f>AVERAGE(AN3:AN16)</f>
        <v>2.4615384615384617</v>
      </c>
      <c r="AO18" s="45"/>
      <c r="AP18" s="45"/>
      <c r="AQ18" s="30">
        <f>AVERAGE(AQ3:AQ16)</f>
        <v>4.3076923076923075</v>
      </c>
      <c r="AR18" s="45"/>
      <c r="AS18" s="45"/>
      <c r="AT18" s="30">
        <f>AVERAGE(AT3:AT16)</f>
        <v>4.6363636363636367</v>
      </c>
      <c r="AU18" s="45"/>
      <c r="AV18" s="30">
        <f>AVERAGE(AE18:AT18)</f>
        <v>3.6958041958041963</v>
      </c>
      <c r="AW18" s="45"/>
      <c r="AX18" s="87"/>
      <c r="AY18" s="87" t="s">
        <v>18</v>
      </c>
      <c r="AZ18" s="65"/>
      <c r="BA18" s="65"/>
      <c r="BB18" s="30">
        <f>AVERAGE(BB11:BB16)</f>
        <v>2.3333333333333335</v>
      </c>
      <c r="BC18" s="65"/>
      <c r="BD18" s="65"/>
      <c r="BE18" s="30">
        <f>AVERAGE(BE11:BE16)</f>
        <v>2.3333333333333335</v>
      </c>
      <c r="BF18" s="65"/>
      <c r="BG18" s="65"/>
      <c r="BH18" s="30">
        <f>AVERAGE(BH3:BH16)</f>
        <v>3.7272727272727271</v>
      </c>
      <c r="BI18" s="65"/>
      <c r="BJ18" s="65"/>
      <c r="BK18" s="30">
        <f>AVERAGE(BK3:BK16)</f>
        <v>4.7272727272727275</v>
      </c>
      <c r="BL18" s="65"/>
      <c r="BM18" s="65"/>
      <c r="BN18" s="30">
        <f>AVERAGE(BN3:BN16)</f>
        <v>3.3</v>
      </c>
      <c r="BO18" s="65"/>
      <c r="BP18" s="30">
        <f>AVERAGE(BB18:BN18)</f>
        <v>3.2842424242424242</v>
      </c>
      <c r="BQ18" s="65"/>
      <c r="BR18" s="65"/>
      <c r="BS18" s="65"/>
      <c r="BT18" s="65"/>
      <c r="BU18" s="30">
        <f>AVERAGE(BU3:BU16)</f>
        <v>4.9230769230769234</v>
      </c>
      <c r="BV18" s="65"/>
      <c r="BW18" s="65"/>
      <c r="BX18" s="30">
        <f>AVERAGE(BX3:BX16)</f>
        <v>3.5384615384615383</v>
      </c>
      <c r="BY18" s="65"/>
      <c r="BZ18" s="65"/>
      <c r="CA18" s="30">
        <f>AVERAGE(CA3:CA16)</f>
        <v>3.8333333333333335</v>
      </c>
      <c r="CB18" s="65"/>
      <c r="CC18" s="65"/>
      <c r="CD18" s="30">
        <f>AVERAGE(CD3:CD16)</f>
        <v>4.0769230769230766</v>
      </c>
      <c r="CE18" s="65"/>
      <c r="CF18" s="30">
        <f>AVERAGE(BU18:CD18)</f>
        <v>4.0929487179487181</v>
      </c>
      <c r="CG18" s="30">
        <f>AVERAGE(Z18,AV18,BP18,CF18)</f>
        <v>3.8932488344988352</v>
      </c>
      <c r="CH18" s="240"/>
      <c r="CI18" s="62" t="s">
        <v>18</v>
      </c>
    </row>
    <row r="19" spans="1:87">
      <c r="A19" s="315"/>
      <c r="B19" s="315"/>
      <c r="Y19" s="160" t="s">
        <v>17</v>
      </c>
      <c r="Z19" s="160"/>
    </row>
    <row r="20" spans="1:87">
      <c r="A20" s="315"/>
      <c r="B20" s="319" t="s">
        <v>16</v>
      </c>
      <c r="C20" s="26"/>
      <c r="D20" s="26"/>
      <c r="E20" s="92"/>
      <c r="F20" s="92"/>
      <c r="G20" s="92"/>
      <c r="H20" s="92"/>
      <c r="I20" s="92"/>
      <c r="J20" s="92"/>
      <c r="K20" s="92"/>
      <c r="L20" s="92"/>
      <c r="Y20" s="25" t="s">
        <v>15</v>
      </c>
      <c r="Z20" s="24">
        <v>13</v>
      </c>
      <c r="AA20" s="4"/>
      <c r="AB20" s="4"/>
      <c r="AU20" s="24" t="s">
        <v>15</v>
      </c>
      <c r="AV20" s="24">
        <v>13</v>
      </c>
      <c r="BO20" s="24" t="s">
        <v>15</v>
      </c>
      <c r="BP20" s="24">
        <v>13</v>
      </c>
      <c r="CE20" s="24" t="s">
        <v>15</v>
      </c>
      <c r="CF20" s="24">
        <v>13</v>
      </c>
    </row>
    <row r="21" spans="1:87">
      <c r="A21" s="315"/>
      <c r="B21" s="321"/>
      <c r="C21" s="23"/>
      <c r="E21" s="92"/>
      <c r="F21" s="92"/>
      <c r="G21" s="92"/>
      <c r="H21" s="92"/>
      <c r="I21" s="92"/>
      <c r="J21" s="92"/>
      <c r="K21" s="92"/>
      <c r="L21" s="92"/>
      <c r="Y21" s="161" t="s">
        <v>133</v>
      </c>
      <c r="Z21" s="13">
        <f>COUNTIF(Z3:Z16,5)</f>
        <v>12</v>
      </c>
      <c r="AU21" s="128" t="s">
        <v>134</v>
      </c>
      <c r="AV21" s="13">
        <f>COUNTIF(AV3:AV16,5)</f>
        <v>5</v>
      </c>
      <c r="BO21" s="128" t="s">
        <v>134</v>
      </c>
      <c r="BP21" s="13">
        <f>COUNTIF(BP3:BP16,5)</f>
        <v>1</v>
      </c>
      <c r="CE21" s="128" t="s">
        <v>134</v>
      </c>
      <c r="CF21" s="13">
        <f>COUNTIF(CF3:CF16,5)</f>
        <v>9</v>
      </c>
    </row>
    <row r="22" spans="1:87">
      <c r="A22" s="315"/>
      <c r="B22" s="326" t="s">
        <v>13</v>
      </c>
      <c r="C22" s="20">
        <v>13</v>
      </c>
      <c r="D22" s="19" t="s">
        <v>4</v>
      </c>
      <c r="E22" s="92"/>
      <c r="F22" s="92"/>
      <c r="G22" s="92"/>
      <c r="H22" s="92"/>
      <c r="I22" s="92"/>
      <c r="J22" s="92"/>
      <c r="K22" s="92"/>
      <c r="L22" s="92"/>
      <c r="Y22" s="162" t="s">
        <v>12</v>
      </c>
      <c r="Z22" s="13">
        <f>COUNTIF(Z3:Z16,4)</f>
        <v>1</v>
      </c>
      <c r="AU22" s="129" t="s">
        <v>12</v>
      </c>
      <c r="AV22" s="13">
        <f>COUNTIF(AV3:AV16,4)</f>
        <v>5</v>
      </c>
      <c r="BO22" s="129" t="s">
        <v>12</v>
      </c>
      <c r="BP22" s="13">
        <f>COUNTIF(BP3:BP16,4)</f>
        <v>4</v>
      </c>
      <c r="CE22" s="129" t="s">
        <v>12</v>
      </c>
      <c r="CF22" s="13">
        <f>COUNTIF(CF3:CF16,4)</f>
        <v>4</v>
      </c>
    </row>
    <row r="23" spans="1:87">
      <c r="A23" s="315"/>
      <c r="B23" s="327" t="s">
        <v>11</v>
      </c>
      <c r="C23" s="2">
        <f>COUNTIF(J3:J16,"деф.массы")</f>
        <v>4</v>
      </c>
      <c r="D23" s="2">
        <f>C23*100/C22</f>
        <v>30.76923076923077</v>
      </c>
      <c r="E23" s="92"/>
      <c r="F23" s="92"/>
      <c r="G23" s="92"/>
      <c r="H23" s="92"/>
      <c r="I23" s="92"/>
      <c r="J23" s="92"/>
      <c r="K23" s="92"/>
      <c r="L23" s="92"/>
      <c r="Y23" s="163" t="s">
        <v>10</v>
      </c>
      <c r="Z23" s="13">
        <f>COUNTIF(Z3:Z16,3)</f>
        <v>0</v>
      </c>
      <c r="AU23" s="130" t="s">
        <v>135</v>
      </c>
      <c r="AV23" s="13">
        <f>COUNTIF(AV3:AV16,3)</f>
        <v>3</v>
      </c>
      <c r="BO23" s="130" t="s">
        <v>135</v>
      </c>
      <c r="BP23" s="13">
        <f>COUNTIF(BP3:BP16,3)</f>
        <v>5</v>
      </c>
      <c r="CE23" s="130" t="s">
        <v>135</v>
      </c>
      <c r="CF23" s="13">
        <f>COUNTIF(CF3:CF15,3)</f>
        <v>0</v>
      </c>
    </row>
    <row r="24" spans="1:87">
      <c r="A24" s="315"/>
      <c r="B24" s="328" t="s">
        <v>9</v>
      </c>
      <c r="C24" s="2">
        <f>COUNTIF(J3:J16,"гарм.(-)")</f>
        <v>3</v>
      </c>
      <c r="D24" s="359">
        <f>(C24+C25+C26)*100/C22</f>
        <v>69.230769230769226</v>
      </c>
      <c r="E24" s="92"/>
      <c r="F24" s="92"/>
      <c r="G24" s="92"/>
      <c r="H24" s="92"/>
      <c r="I24" s="92"/>
      <c r="J24" s="92"/>
      <c r="K24" s="92"/>
      <c r="L24" s="92"/>
      <c r="Y24" s="164" t="s">
        <v>8</v>
      </c>
      <c r="Z24" s="13">
        <f>COUNTIF(Z3:Z16,2)</f>
        <v>0</v>
      </c>
      <c r="AU24" s="131" t="s">
        <v>136</v>
      </c>
      <c r="AV24" s="13">
        <f>COUNTIF(AV3:AV16,2)</f>
        <v>0</v>
      </c>
      <c r="BO24" s="131" t="s">
        <v>136</v>
      </c>
      <c r="BP24" s="13">
        <f>COUNTIF(BP3:BP16,2)</f>
        <v>3</v>
      </c>
      <c r="CE24" s="131" t="s">
        <v>136</v>
      </c>
      <c r="CF24" s="13">
        <f>COUNTIF(CF3:CF15,2)</f>
        <v>0</v>
      </c>
    </row>
    <row r="25" spans="1:87">
      <c r="A25" s="315"/>
      <c r="B25" s="329" t="s">
        <v>7</v>
      </c>
      <c r="C25" s="2">
        <f>COUNTIF(J3:J16,"гармонич.")</f>
        <v>4</v>
      </c>
      <c r="D25" s="360"/>
      <c r="E25" s="92"/>
      <c r="F25" s="92"/>
      <c r="G25" s="92"/>
      <c r="H25" s="92"/>
      <c r="I25" s="92"/>
      <c r="J25" s="92"/>
      <c r="K25" s="92"/>
      <c r="L25" s="92"/>
      <c r="Y25" s="3" t="s">
        <v>6</v>
      </c>
      <c r="Z25" s="10">
        <f>COUNTIF(Z3:Z16,"осв.")</f>
        <v>0</v>
      </c>
      <c r="AU25" s="10" t="s">
        <v>96</v>
      </c>
      <c r="AV25" s="10">
        <f>COUNTIF(AV3:AV16,"осв.")</f>
        <v>0</v>
      </c>
      <c r="BO25" s="10" t="s">
        <v>96</v>
      </c>
      <c r="BP25" s="10">
        <f>COUNTIF(BP3:BP16,"осв.")</f>
        <v>0</v>
      </c>
      <c r="CE25" s="10" t="s">
        <v>96</v>
      </c>
      <c r="CF25" s="10">
        <f>COUNTIF(CF3:CF15,"осв.")</f>
        <v>0</v>
      </c>
    </row>
    <row r="26" spans="1:87">
      <c r="A26" s="315"/>
      <c r="B26" s="330" t="s">
        <v>5</v>
      </c>
      <c r="C26" s="2">
        <f>COUNTIF(J3:J16,"гарм.(+)")</f>
        <v>2</v>
      </c>
      <c r="D26" s="361"/>
      <c r="E26" s="92"/>
      <c r="F26" s="92"/>
      <c r="G26" s="92"/>
      <c r="H26" s="92"/>
      <c r="I26" s="92"/>
      <c r="J26" s="92"/>
      <c r="K26" s="92"/>
      <c r="L26" s="92"/>
      <c r="Y26" s="8"/>
      <c r="Z26" s="7" t="s">
        <v>4</v>
      </c>
      <c r="AU26" s="142"/>
      <c r="AV26" s="7" t="s">
        <v>4</v>
      </c>
      <c r="BO26" s="142"/>
      <c r="BP26" s="7" t="s">
        <v>4</v>
      </c>
      <c r="CE26" s="142"/>
      <c r="CF26" s="7" t="s">
        <v>4</v>
      </c>
    </row>
    <row r="27" spans="1:87">
      <c r="A27" s="315"/>
      <c r="B27" s="331" t="s">
        <v>3</v>
      </c>
      <c r="C27" s="2">
        <f>COUNTIF(J3:J16,"тучное")</f>
        <v>0</v>
      </c>
      <c r="D27" s="2">
        <f>C27*100/C22</f>
        <v>0</v>
      </c>
      <c r="E27" s="92"/>
      <c r="F27" s="92"/>
      <c r="G27" s="92"/>
      <c r="H27" s="92"/>
      <c r="I27" s="92"/>
      <c r="J27" s="92"/>
      <c r="K27" s="92"/>
      <c r="L27" s="92"/>
      <c r="Y27" s="3" t="s">
        <v>2</v>
      </c>
      <c r="Z27" s="2">
        <f>AA27*100/Z20</f>
        <v>30.76923076923077</v>
      </c>
      <c r="AA27" s="5">
        <f>COUNTIF(AA3:AA15,5)</f>
        <v>4</v>
      </c>
      <c r="AB27" s="4"/>
      <c r="AU27" s="10" t="s">
        <v>2</v>
      </c>
      <c r="AV27" s="2">
        <f>AX27*100/AV20</f>
        <v>0</v>
      </c>
      <c r="AX27" s="5">
        <f>COUNTIF(AX3:AX15,5)</f>
        <v>0</v>
      </c>
      <c r="BO27" s="10" t="s">
        <v>2</v>
      </c>
      <c r="BP27" s="133">
        <f>BR27*100/BP20</f>
        <v>7.6923076923076925</v>
      </c>
      <c r="BQ27" s="239"/>
      <c r="BR27" s="5">
        <f>COUNTIF(BR3:BR15,5)</f>
        <v>1</v>
      </c>
      <c r="BS27" s="225"/>
      <c r="CE27" s="165" t="s">
        <v>2</v>
      </c>
      <c r="CF27" s="133">
        <f>CH27*100/CF20</f>
        <v>15.384615384615385</v>
      </c>
      <c r="CG27" s="242"/>
      <c r="CH27" s="5">
        <f>COUNTIF(CH3:CH15,5)</f>
        <v>2</v>
      </c>
    </row>
    <row r="28" spans="1:87">
      <c r="A28" s="315"/>
      <c r="B28" s="332"/>
      <c r="C28" s="324"/>
      <c r="D28" s="324"/>
      <c r="E28" s="92"/>
      <c r="F28" s="92"/>
      <c r="G28" s="92"/>
      <c r="H28" s="92"/>
      <c r="I28" s="92"/>
      <c r="J28" s="92"/>
      <c r="K28" s="92"/>
      <c r="L28" s="92"/>
      <c r="Y28" s="3" t="s">
        <v>1</v>
      </c>
      <c r="Z28" s="2">
        <f>(Z21+Z22+Z25)/Z20*100</f>
        <v>100</v>
      </c>
      <c r="AU28" s="10" t="s">
        <v>1</v>
      </c>
      <c r="AV28" s="2">
        <f>(AV21+AV22+AV25)/AV20*100</f>
        <v>76.923076923076934</v>
      </c>
      <c r="BO28" s="10" t="s">
        <v>1</v>
      </c>
      <c r="BP28" s="2">
        <f>(BP21+BP22+BP25)/BP20*100</f>
        <v>38.461538461538467</v>
      </c>
      <c r="CE28" s="165" t="s">
        <v>1</v>
      </c>
      <c r="CF28" s="2">
        <f>(CF21+CF22+CF25)/CF20*100</f>
        <v>100</v>
      </c>
    </row>
    <row r="29" spans="1:87">
      <c r="A29" s="315"/>
      <c r="B29" s="332"/>
      <c r="C29" s="324"/>
      <c r="D29" s="324"/>
      <c r="E29" s="92"/>
      <c r="F29" s="92"/>
      <c r="G29" s="92"/>
      <c r="H29" s="92"/>
      <c r="I29" s="92"/>
      <c r="J29" s="92"/>
      <c r="K29" s="92"/>
      <c r="L29" s="92"/>
      <c r="Y29" s="3" t="s">
        <v>0</v>
      </c>
      <c r="Z29" s="2">
        <f>(Z21+Z22+Z23-Z24+Z25)*100/Z20</f>
        <v>100</v>
      </c>
      <c r="AU29" s="10" t="s">
        <v>198</v>
      </c>
      <c r="AV29" s="2">
        <f>(AV21+AV22+AV23-AV24+AV25)*100/AV20</f>
        <v>100</v>
      </c>
      <c r="BO29" s="10" t="s">
        <v>0</v>
      </c>
      <c r="BP29" s="2">
        <f>(BP21+BP22+BP23-BP24+BP25)*100/BP20</f>
        <v>53.846153846153847</v>
      </c>
      <c r="CE29" s="165" t="s">
        <v>0</v>
      </c>
      <c r="CF29" s="2">
        <f>(CF21+CF22+CF23-CF24+CF25)*100/CF20</f>
        <v>100</v>
      </c>
    </row>
    <row r="30" spans="1:87"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</row>
    <row r="31" spans="1:87"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</row>
    <row r="32" spans="1:87"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</row>
    <row r="33" spans="2:86"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</row>
    <row r="34" spans="2:86"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</row>
    <row r="35" spans="2:86"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</row>
    <row r="36" spans="2:86"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</row>
    <row r="37" spans="2:86"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</row>
    <row r="38" spans="2:86"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CG38" s="31"/>
      <c r="CH38" s="241"/>
    </row>
    <row r="39" spans="2:86"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</row>
    <row r="40" spans="2:86"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</row>
    <row r="41" spans="2:86"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</row>
    <row r="42" spans="2:86"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</row>
    <row r="43" spans="2:86"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</row>
    <row r="44" spans="2:86"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2:86"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</row>
    <row r="46" spans="2:86"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</row>
    <row r="47" spans="2:86"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</row>
    <row r="48" spans="2:86"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</row>
  </sheetData>
  <mergeCells count="5">
    <mergeCell ref="D24:D26"/>
    <mergeCell ref="B1:K1"/>
    <mergeCell ref="AB1:AX1"/>
    <mergeCell ref="L1:AA1"/>
    <mergeCell ref="BS1:CI1"/>
  </mergeCells>
  <printOptions gridLines="1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Q45"/>
  <sheetViews>
    <sheetView workbookViewId="0">
      <selection activeCell="M25" sqref="M25"/>
    </sheetView>
  </sheetViews>
  <sheetFormatPr defaultColWidth="8.42578125" defaultRowHeight="12.75"/>
  <cols>
    <col min="1" max="1" width="10.85546875" style="1" customWidth="1"/>
    <col min="2" max="2" width="18.5703125" style="1" customWidth="1"/>
    <col min="3" max="3" width="10" style="1" customWidth="1"/>
    <col min="4" max="4" width="10.28515625" style="1" customWidth="1"/>
    <col min="5" max="9" width="8.28515625" style="1" customWidth="1"/>
    <col min="10" max="10" width="10.28515625" style="1" customWidth="1"/>
    <col min="11" max="11" width="8.28515625" style="1" customWidth="1"/>
    <col min="12" max="12" width="18.28515625" style="1" customWidth="1"/>
    <col min="13" max="13" width="6" style="1" customWidth="1"/>
    <col min="14" max="15" width="5.42578125" style="1" customWidth="1"/>
    <col min="16" max="16" width="5.5703125" style="1" customWidth="1"/>
    <col min="17" max="17" width="5.140625" style="1" customWidth="1"/>
    <col min="18" max="18" width="5.42578125" style="1" customWidth="1"/>
    <col min="19" max="20" width="5.140625" style="1" customWidth="1"/>
    <col min="21" max="21" width="5.42578125" style="1" customWidth="1"/>
    <col min="22" max="22" width="5.140625" style="1" customWidth="1"/>
    <col min="23" max="23" width="5" style="1" customWidth="1"/>
    <col min="24" max="24" width="5.42578125" style="1" customWidth="1"/>
    <col min="25" max="25" width="9.5703125" style="1" customWidth="1"/>
    <col min="26" max="26" width="6.85546875" style="1" customWidth="1"/>
    <col min="27" max="27" width="5.140625" style="1" customWidth="1"/>
    <col min="28" max="28" width="18.140625" style="1" customWidth="1"/>
    <col min="29" max="46" width="5.7109375" style="1" customWidth="1"/>
    <col min="47" max="47" width="7.5703125" style="1" customWidth="1"/>
    <col min="48" max="48" width="7.28515625" style="1" customWidth="1"/>
    <col min="49" max="50" width="5.7109375" style="1" customWidth="1"/>
    <col min="51" max="51" width="18.140625" style="1" customWidth="1"/>
    <col min="52" max="66" width="5.7109375" style="1" customWidth="1"/>
    <col min="67" max="67" width="7.85546875" style="1" customWidth="1"/>
    <col min="68" max="68" width="7.42578125" style="1" customWidth="1"/>
    <col min="69" max="82" width="5.7109375" style="1" customWidth="1"/>
    <col min="83" max="83" width="8.140625" style="1" customWidth="1"/>
    <col min="84" max="84" width="7.5703125" style="1" customWidth="1"/>
    <col min="85" max="86" width="6.5703125" style="1" customWidth="1"/>
    <col min="87" max="87" width="18.28515625" style="1" customWidth="1"/>
    <col min="88" max="258" width="8.42578125" style="1"/>
    <col min="259" max="259" width="10.85546875" style="1" customWidth="1"/>
    <col min="260" max="260" width="18.5703125" style="1" customWidth="1"/>
    <col min="261" max="261" width="10" style="1" customWidth="1"/>
    <col min="262" max="262" width="10.28515625" style="1" customWidth="1"/>
    <col min="263" max="267" width="8.28515625" style="1" customWidth="1"/>
    <col min="268" max="268" width="10.28515625" style="1" customWidth="1"/>
    <col min="269" max="269" width="8.28515625" style="1" customWidth="1"/>
    <col min="270" max="270" width="18.28515625" style="1" customWidth="1"/>
    <col min="271" max="271" width="6" style="1" customWidth="1"/>
    <col min="272" max="273" width="5.42578125" style="1" customWidth="1"/>
    <col min="274" max="274" width="5.5703125" style="1" customWidth="1"/>
    <col min="275" max="275" width="5.140625" style="1" customWidth="1"/>
    <col min="276" max="276" width="5.42578125" style="1" customWidth="1"/>
    <col min="277" max="278" width="5.140625" style="1" customWidth="1"/>
    <col min="279" max="279" width="5.42578125" style="1" customWidth="1"/>
    <col min="280" max="280" width="5.140625" style="1" customWidth="1"/>
    <col min="281" max="281" width="5" style="1" customWidth="1"/>
    <col min="282" max="282" width="5.42578125" style="1" customWidth="1"/>
    <col min="283" max="283" width="9.5703125" style="1" customWidth="1"/>
    <col min="284" max="284" width="6.85546875" style="1" customWidth="1"/>
    <col min="285" max="285" width="5.140625" style="1" customWidth="1"/>
    <col min="286" max="286" width="18.140625" style="1" customWidth="1"/>
    <col min="287" max="304" width="5.7109375" style="1" customWidth="1"/>
    <col min="305" max="305" width="7.5703125" style="1" customWidth="1"/>
    <col min="306" max="306" width="7.28515625" style="1" customWidth="1"/>
    <col min="307" max="308" width="5.7109375" style="1" customWidth="1"/>
    <col min="309" max="309" width="18.140625" style="1" customWidth="1"/>
    <col min="310" max="324" width="5.7109375" style="1" customWidth="1"/>
    <col min="325" max="325" width="6.42578125" style="1" customWidth="1"/>
    <col min="326" max="326" width="7.42578125" style="1" customWidth="1"/>
    <col min="327" max="339" width="5.7109375" style="1" customWidth="1"/>
    <col min="340" max="340" width="6.5703125" style="1" customWidth="1"/>
    <col min="341" max="341" width="7.5703125" style="1" customWidth="1"/>
    <col min="342" max="342" width="6.5703125" style="1" customWidth="1"/>
    <col min="343" max="343" width="18.28515625" style="1" customWidth="1"/>
    <col min="344" max="514" width="8.42578125" style="1"/>
    <col min="515" max="515" width="10.85546875" style="1" customWidth="1"/>
    <col min="516" max="516" width="18.5703125" style="1" customWidth="1"/>
    <col min="517" max="517" width="10" style="1" customWidth="1"/>
    <col min="518" max="518" width="10.28515625" style="1" customWidth="1"/>
    <col min="519" max="523" width="8.28515625" style="1" customWidth="1"/>
    <col min="524" max="524" width="10.28515625" style="1" customWidth="1"/>
    <col min="525" max="525" width="8.28515625" style="1" customWidth="1"/>
    <col min="526" max="526" width="18.28515625" style="1" customWidth="1"/>
    <col min="527" max="527" width="6" style="1" customWidth="1"/>
    <col min="528" max="529" width="5.42578125" style="1" customWidth="1"/>
    <col min="530" max="530" width="5.5703125" style="1" customWidth="1"/>
    <col min="531" max="531" width="5.140625" style="1" customWidth="1"/>
    <col min="532" max="532" width="5.42578125" style="1" customWidth="1"/>
    <col min="533" max="534" width="5.140625" style="1" customWidth="1"/>
    <col min="535" max="535" width="5.42578125" style="1" customWidth="1"/>
    <col min="536" max="536" width="5.140625" style="1" customWidth="1"/>
    <col min="537" max="537" width="5" style="1" customWidth="1"/>
    <col min="538" max="538" width="5.42578125" style="1" customWidth="1"/>
    <col min="539" max="539" width="9.5703125" style="1" customWidth="1"/>
    <col min="540" max="540" width="6.85546875" style="1" customWidth="1"/>
    <col min="541" max="541" width="5.140625" style="1" customWidth="1"/>
    <col min="542" max="542" width="18.140625" style="1" customWidth="1"/>
    <col min="543" max="560" width="5.7109375" style="1" customWidth="1"/>
    <col min="561" max="561" width="7.5703125" style="1" customWidth="1"/>
    <col min="562" max="562" width="7.28515625" style="1" customWidth="1"/>
    <col min="563" max="564" width="5.7109375" style="1" customWidth="1"/>
    <col min="565" max="565" width="18.140625" style="1" customWidth="1"/>
    <col min="566" max="580" width="5.7109375" style="1" customWidth="1"/>
    <col min="581" max="581" width="6.42578125" style="1" customWidth="1"/>
    <col min="582" max="582" width="7.42578125" style="1" customWidth="1"/>
    <col min="583" max="595" width="5.7109375" style="1" customWidth="1"/>
    <col min="596" max="596" width="6.5703125" style="1" customWidth="1"/>
    <col min="597" max="597" width="7.5703125" style="1" customWidth="1"/>
    <col min="598" max="598" width="6.5703125" style="1" customWidth="1"/>
    <col min="599" max="599" width="18.28515625" style="1" customWidth="1"/>
    <col min="600" max="770" width="8.42578125" style="1"/>
    <col min="771" max="771" width="10.85546875" style="1" customWidth="1"/>
    <col min="772" max="772" width="18.5703125" style="1" customWidth="1"/>
    <col min="773" max="773" width="10" style="1" customWidth="1"/>
    <col min="774" max="774" width="10.28515625" style="1" customWidth="1"/>
    <col min="775" max="779" width="8.28515625" style="1" customWidth="1"/>
    <col min="780" max="780" width="10.28515625" style="1" customWidth="1"/>
    <col min="781" max="781" width="8.28515625" style="1" customWidth="1"/>
    <col min="782" max="782" width="18.28515625" style="1" customWidth="1"/>
    <col min="783" max="783" width="6" style="1" customWidth="1"/>
    <col min="784" max="785" width="5.42578125" style="1" customWidth="1"/>
    <col min="786" max="786" width="5.5703125" style="1" customWidth="1"/>
    <col min="787" max="787" width="5.140625" style="1" customWidth="1"/>
    <col min="788" max="788" width="5.42578125" style="1" customWidth="1"/>
    <col min="789" max="790" width="5.140625" style="1" customWidth="1"/>
    <col min="791" max="791" width="5.42578125" style="1" customWidth="1"/>
    <col min="792" max="792" width="5.140625" style="1" customWidth="1"/>
    <col min="793" max="793" width="5" style="1" customWidth="1"/>
    <col min="794" max="794" width="5.42578125" style="1" customWidth="1"/>
    <col min="795" max="795" width="9.5703125" style="1" customWidth="1"/>
    <col min="796" max="796" width="6.85546875" style="1" customWidth="1"/>
    <col min="797" max="797" width="5.140625" style="1" customWidth="1"/>
    <col min="798" max="798" width="18.140625" style="1" customWidth="1"/>
    <col min="799" max="816" width="5.7109375" style="1" customWidth="1"/>
    <col min="817" max="817" width="7.5703125" style="1" customWidth="1"/>
    <col min="818" max="818" width="7.28515625" style="1" customWidth="1"/>
    <col min="819" max="820" width="5.7109375" style="1" customWidth="1"/>
    <col min="821" max="821" width="18.140625" style="1" customWidth="1"/>
    <col min="822" max="836" width="5.7109375" style="1" customWidth="1"/>
    <col min="837" max="837" width="6.42578125" style="1" customWidth="1"/>
    <col min="838" max="838" width="7.42578125" style="1" customWidth="1"/>
    <col min="839" max="851" width="5.7109375" style="1" customWidth="1"/>
    <col min="852" max="852" width="6.5703125" style="1" customWidth="1"/>
    <col min="853" max="853" width="7.5703125" style="1" customWidth="1"/>
    <col min="854" max="854" width="6.5703125" style="1" customWidth="1"/>
    <col min="855" max="855" width="18.28515625" style="1" customWidth="1"/>
    <col min="856" max="1026" width="8.42578125" style="1"/>
    <col min="1027" max="1027" width="10.85546875" style="1" customWidth="1"/>
    <col min="1028" max="1028" width="18.5703125" style="1" customWidth="1"/>
    <col min="1029" max="1029" width="10" style="1" customWidth="1"/>
    <col min="1030" max="1030" width="10.28515625" style="1" customWidth="1"/>
    <col min="1031" max="1035" width="8.28515625" style="1" customWidth="1"/>
    <col min="1036" max="1036" width="10.28515625" style="1" customWidth="1"/>
    <col min="1037" max="1037" width="8.28515625" style="1" customWidth="1"/>
    <col min="1038" max="1038" width="18.28515625" style="1" customWidth="1"/>
    <col min="1039" max="1039" width="6" style="1" customWidth="1"/>
    <col min="1040" max="1041" width="5.42578125" style="1" customWidth="1"/>
    <col min="1042" max="1042" width="5.5703125" style="1" customWidth="1"/>
    <col min="1043" max="1043" width="5.140625" style="1" customWidth="1"/>
    <col min="1044" max="1044" width="5.42578125" style="1" customWidth="1"/>
    <col min="1045" max="1046" width="5.140625" style="1" customWidth="1"/>
    <col min="1047" max="1047" width="5.42578125" style="1" customWidth="1"/>
    <col min="1048" max="1048" width="5.140625" style="1" customWidth="1"/>
    <col min="1049" max="1049" width="5" style="1" customWidth="1"/>
    <col min="1050" max="1050" width="5.42578125" style="1" customWidth="1"/>
    <col min="1051" max="1051" width="9.5703125" style="1" customWidth="1"/>
    <col min="1052" max="1052" width="6.85546875" style="1" customWidth="1"/>
    <col min="1053" max="1053" width="5.140625" style="1" customWidth="1"/>
    <col min="1054" max="1054" width="18.140625" style="1" customWidth="1"/>
    <col min="1055" max="1072" width="5.7109375" style="1" customWidth="1"/>
    <col min="1073" max="1073" width="7.5703125" style="1" customWidth="1"/>
    <col min="1074" max="1074" width="7.28515625" style="1" customWidth="1"/>
    <col min="1075" max="1076" width="5.7109375" style="1" customWidth="1"/>
    <col min="1077" max="1077" width="18.140625" style="1" customWidth="1"/>
    <col min="1078" max="1092" width="5.7109375" style="1" customWidth="1"/>
    <col min="1093" max="1093" width="6.42578125" style="1" customWidth="1"/>
    <col min="1094" max="1094" width="7.42578125" style="1" customWidth="1"/>
    <col min="1095" max="1107" width="5.7109375" style="1" customWidth="1"/>
    <col min="1108" max="1108" width="6.5703125" style="1" customWidth="1"/>
    <col min="1109" max="1109" width="7.5703125" style="1" customWidth="1"/>
    <col min="1110" max="1110" width="6.5703125" style="1" customWidth="1"/>
    <col min="1111" max="1111" width="18.28515625" style="1" customWidth="1"/>
    <col min="1112" max="1282" width="8.42578125" style="1"/>
    <col min="1283" max="1283" width="10.85546875" style="1" customWidth="1"/>
    <col min="1284" max="1284" width="18.5703125" style="1" customWidth="1"/>
    <col min="1285" max="1285" width="10" style="1" customWidth="1"/>
    <col min="1286" max="1286" width="10.28515625" style="1" customWidth="1"/>
    <col min="1287" max="1291" width="8.28515625" style="1" customWidth="1"/>
    <col min="1292" max="1292" width="10.28515625" style="1" customWidth="1"/>
    <col min="1293" max="1293" width="8.28515625" style="1" customWidth="1"/>
    <col min="1294" max="1294" width="18.28515625" style="1" customWidth="1"/>
    <col min="1295" max="1295" width="6" style="1" customWidth="1"/>
    <col min="1296" max="1297" width="5.42578125" style="1" customWidth="1"/>
    <col min="1298" max="1298" width="5.5703125" style="1" customWidth="1"/>
    <col min="1299" max="1299" width="5.140625" style="1" customWidth="1"/>
    <col min="1300" max="1300" width="5.42578125" style="1" customWidth="1"/>
    <col min="1301" max="1302" width="5.140625" style="1" customWidth="1"/>
    <col min="1303" max="1303" width="5.42578125" style="1" customWidth="1"/>
    <col min="1304" max="1304" width="5.140625" style="1" customWidth="1"/>
    <col min="1305" max="1305" width="5" style="1" customWidth="1"/>
    <col min="1306" max="1306" width="5.42578125" style="1" customWidth="1"/>
    <col min="1307" max="1307" width="9.5703125" style="1" customWidth="1"/>
    <col min="1308" max="1308" width="6.85546875" style="1" customWidth="1"/>
    <col min="1309" max="1309" width="5.140625" style="1" customWidth="1"/>
    <col min="1310" max="1310" width="18.140625" style="1" customWidth="1"/>
    <col min="1311" max="1328" width="5.7109375" style="1" customWidth="1"/>
    <col min="1329" max="1329" width="7.5703125" style="1" customWidth="1"/>
    <col min="1330" max="1330" width="7.28515625" style="1" customWidth="1"/>
    <col min="1331" max="1332" width="5.7109375" style="1" customWidth="1"/>
    <col min="1333" max="1333" width="18.140625" style="1" customWidth="1"/>
    <col min="1334" max="1348" width="5.7109375" style="1" customWidth="1"/>
    <col min="1349" max="1349" width="6.42578125" style="1" customWidth="1"/>
    <col min="1350" max="1350" width="7.42578125" style="1" customWidth="1"/>
    <col min="1351" max="1363" width="5.7109375" style="1" customWidth="1"/>
    <col min="1364" max="1364" width="6.5703125" style="1" customWidth="1"/>
    <col min="1365" max="1365" width="7.5703125" style="1" customWidth="1"/>
    <col min="1366" max="1366" width="6.5703125" style="1" customWidth="1"/>
    <col min="1367" max="1367" width="18.28515625" style="1" customWidth="1"/>
    <col min="1368" max="1538" width="8.42578125" style="1"/>
    <col min="1539" max="1539" width="10.85546875" style="1" customWidth="1"/>
    <col min="1540" max="1540" width="18.5703125" style="1" customWidth="1"/>
    <col min="1541" max="1541" width="10" style="1" customWidth="1"/>
    <col min="1542" max="1542" width="10.28515625" style="1" customWidth="1"/>
    <col min="1543" max="1547" width="8.28515625" style="1" customWidth="1"/>
    <col min="1548" max="1548" width="10.28515625" style="1" customWidth="1"/>
    <col min="1549" max="1549" width="8.28515625" style="1" customWidth="1"/>
    <col min="1550" max="1550" width="18.28515625" style="1" customWidth="1"/>
    <col min="1551" max="1551" width="6" style="1" customWidth="1"/>
    <col min="1552" max="1553" width="5.42578125" style="1" customWidth="1"/>
    <col min="1554" max="1554" width="5.5703125" style="1" customWidth="1"/>
    <col min="1555" max="1555" width="5.140625" style="1" customWidth="1"/>
    <col min="1556" max="1556" width="5.42578125" style="1" customWidth="1"/>
    <col min="1557" max="1558" width="5.140625" style="1" customWidth="1"/>
    <col min="1559" max="1559" width="5.42578125" style="1" customWidth="1"/>
    <col min="1560" max="1560" width="5.140625" style="1" customWidth="1"/>
    <col min="1561" max="1561" width="5" style="1" customWidth="1"/>
    <col min="1562" max="1562" width="5.42578125" style="1" customWidth="1"/>
    <col min="1563" max="1563" width="9.5703125" style="1" customWidth="1"/>
    <col min="1564" max="1564" width="6.85546875" style="1" customWidth="1"/>
    <col min="1565" max="1565" width="5.140625" style="1" customWidth="1"/>
    <col min="1566" max="1566" width="18.140625" style="1" customWidth="1"/>
    <col min="1567" max="1584" width="5.7109375" style="1" customWidth="1"/>
    <col min="1585" max="1585" width="7.5703125" style="1" customWidth="1"/>
    <col min="1586" max="1586" width="7.28515625" style="1" customWidth="1"/>
    <col min="1587" max="1588" width="5.7109375" style="1" customWidth="1"/>
    <col min="1589" max="1589" width="18.140625" style="1" customWidth="1"/>
    <col min="1590" max="1604" width="5.7109375" style="1" customWidth="1"/>
    <col min="1605" max="1605" width="6.42578125" style="1" customWidth="1"/>
    <col min="1606" max="1606" width="7.42578125" style="1" customWidth="1"/>
    <col min="1607" max="1619" width="5.7109375" style="1" customWidth="1"/>
    <col min="1620" max="1620" width="6.5703125" style="1" customWidth="1"/>
    <col min="1621" max="1621" width="7.5703125" style="1" customWidth="1"/>
    <col min="1622" max="1622" width="6.5703125" style="1" customWidth="1"/>
    <col min="1623" max="1623" width="18.28515625" style="1" customWidth="1"/>
    <col min="1624" max="1794" width="8.42578125" style="1"/>
    <col min="1795" max="1795" width="10.85546875" style="1" customWidth="1"/>
    <col min="1796" max="1796" width="18.5703125" style="1" customWidth="1"/>
    <col min="1797" max="1797" width="10" style="1" customWidth="1"/>
    <col min="1798" max="1798" width="10.28515625" style="1" customWidth="1"/>
    <col min="1799" max="1803" width="8.28515625" style="1" customWidth="1"/>
    <col min="1804" max="1804" width="10.28515625" style="1" customWidth="1"/>
    <col min="1805" max="1805" width="8.28515625" style="1" customWidth="1"/>
    <col min="1806" max="1806" width="18.28515625" style="1" customWidth="1"/>
    <col min="1807" max="1807" width="6" style="1" customWidth="1"/>
    <col min="1808" max="1809" width="5.42578125" style="1" customWidth="1"/>
    <col min="1810" max="1810" width="5.5703125" style="1" customWidth="1"/>
    <col min="1811" max="1811" width="5.140625" style="1" customWidth="1"/>
    <col min="1812" max="1812" width="5.42578125" style="1" customWidth="1"/>
    <col min="1813" max="1814" width="5.140625" style="1" customWidth="1"/>
    <col min="1815" max="1815" width="5.42578125" style="1" customWidth="1"/>
    <col min="1816" max="1816" width="5.140625" style="1" customWidth="1"/>
    <col min="1817" max="1817" width="5" style="1" customWidth="1"/>
    <col min="1818" max="1818" width="5.42578125" style="1" customWidth="1"/>
    <col min="1819" max="1819" width="9.5703125" style="1" customWidth="1"/>
    <col min="1820" max="1820" width="6.85546875" style="1" customWidth="1"/>
    <col min="1821" max="1821" width="5.140625" style="1" customWidth="1"/>
    <col min="1822" max="1822" width="18.140625" style="1" customWidth="1"/>
    <col min="1823" max="1840" width="5.7109375" style="1" customWidth="1"/>
    <col min="1841" max="1841" width="7.5703125" style="1" customWidth="1"/>
    <col min="1842" max="1842" width="7.28515625" style="1" customWidth="1"/>
    <col min="1843" max="1844" width="5.7109375" style="1" customWidth="1"/>
    <col min="1845" max="1845" width="18.140625" style="1" customWidth="1"/>
    <col min="1846" max="1860" width="5.7109375" style="1" customWidth="1"/>
    <col min="1861" max="1861" width="6.42578125" style="1" customWidth="1"/>
    <col min="1862" max="1862" width="7.42578125" style="1" customWidth="1"/>
    <col min="1863" max="1875" width="5.7109375" style="1" customWidth="1"/>
    <col min="1876" max="1876" width="6.5703125" style="1" customWidth="1"/>
    <col min="1877" max="1877" width="7.5703125" style="1" customWidth="1"/>
    <col min="1878" max="1878" width="6.5703125" style="1" customWidth="1"/>
    <col min="1879" max="1879" width="18.28515625" style="1" customWidth="1"/>
    <col min="1880" max="2050" width="8.42578125" style="1"/>
    <col min="2051" max="2051" width="10.85546875" style="1" customWidth="1"/>
    <col min="2052" max="2052" width="18.5703125" style="1" customWidth="1"/>
    <col min="2053" max="2053" width="10" style="1" customWidth="1"/>
    <col min="2054" max="2054" width="10.28515625" style="1" customWidth="1"/>
    <col min="2055" max="2059" width="8.28515625" style="1" customWidth="1"/>
    <col min="2060" max="2060" width="10.28515625" style="1" customWidth="1"/>
    <col min="2061" max="2061" width="8.28515625" style="1" customWidth="1"/>
    <col min="2062" max="2062" width="18.28515625" style="1" customWidth="1"/>
    <col min="2063" max="2063" width="6" style="1" customWidth="1"/>
    <col min="2064" max="2065" width="5.42578125" style="1" customWidth="1"/>
    <col min="2066" max="2066" width="5.5703125" style="1" customWidth="1"/>
    <col min="2067" max="2067" width="5.140625" style="1" customWidth="1"/>
    <col min="2068" max="2068" width="5.42578125" style="1" customWidth="1"/>
    <col min="2069" max="2070" width="5.140625" style="1" customWidth="1"/>
    <col min="2071" max="2071" width="5.42578125" style="1" customWidth="1"/>
    <col min="2072" max="2072" width="5.140625" style="1" customWidth="1"/>
    <col min="2073" max="2073" width="5" style="1" customWidth="1"/>
    <col min="2074" max="2074" width="5.42578125" style="1" customWidth="1"/>
    <col min="2075" max="2075" width="9.5703125" style="1" customWidth="1"/>
    <col min="2076" max="2076" width="6.85546875" style="1" customWidth="1"/>
    <col min="2077" max="2077" width="5.140625" style="1" customWidth="1"/>
    <col min="2078" max="2078" width="18.140625" style="1" customWidth="1"/>
    <col min="2079" max="2096" width="5.7109375" style="1" customWidth="1"/>
    <col min="2097" max="2097" width="7.5703125" style="1" customWidth="1"/>
    <col min="2098" max="2098" width="7.28515625" style="1" customWidth="1"/>
    <col min="2099" max="2100" width="5.7109375" style="1" customWidth="1"/>
    <col min="2101" max="2101" width="18.140625" style="1" customWidth="1"/>
    <col min="2102" max="2116" width="5.7109375" style="1" customWidth="1"/>
    <col min="2117" max="2117" width="6.42578125" style="1" customWidth="1"/>
    <col min="2118" max="2118" width="7.42578125" style="1" customWidth="1"/>
    <col min="2119" max="2131" width="5.7109375" style="1" customWidth="1"/>
    <col min="2132" max="2132" width="6.5703125" style="1" customWidth="1"/>
    <col min="2133" max="2133" width="7.5703125" style="1" customWidth="1"/>
    <col min="2134" max="2134" width="6.5703125" style="1" customWidth="1"/>
    <col min="2135" max="2135" width="18.28515625" style="1" customWidth="1"/>
    <col min="2136" max="2306" width="8.42578125" style="1"/>
    <col min="2307" max="2307" width="10.85546875" style="1" customWidth="1"/>
    <col min="2308" max="2308" width="18.5703125" style="1" customWidth="1"/>
    <col min="2309" max="2309" width="10" style="1" customWidth="1"/>
    <col min="2310" max="2310" width="10.28515625" style="1" customWidth="1"/>
    <col min="2311" max="2315" width="8.28515625" style="1" customWidth="1"/>
    <col min="2316" max="2316" width="10.28515625" style="1" customWidth="1"/>
    <col min="2317" max="2317" width="8.28515625" style="1" customWidth="1"/>
    <col min="2318" max="2318" width="18.28515625" style="1" customWidth="1"/>
    <col min="2319" max="2319" width="6" style="1" customWidth="1"/>
    <col min="2320" max="2321" width="5.42578125" style="1" customWidth="1"/>
    <col min="2322" max="2322" width="5.5703125" style="1" customWidth="1"/>
    <col min="2323" max="2323" width="5.140625" style="1" customWidth="1"/>
    <col min="2324" max="2324" width="5.42578125" style="1" customWidth="1"/>
    <col min="2325" max="2326" width="5.140625" style="1" customWidth="1"/>
    <col min="2327" max="2327" width="5.42578125" style="1" customWidth="1"/>
    <col min="2328" max="2328" width="5.140625" style="1" customWidth="1"/>
    <col min="2329" max="2329" width="5" style="1" customWidth="1"/>
    <col min="2330" max="2330" width="5.42578125" style="1" customWidth="1"/>
    <col min="2331" max="2331" width="9.5703125" style="1" customWidth="1"/>
    <col min="2332" max="2332" width="6.85546875" style="1" customWidth="1"/>
    <col min="2333" max="2333" width="5.140625" style="1" customWidth="1"/>
    <col min="2334" max="2334" width="18.140625" style="1" customWidth="1"/>
    <col min="2335" max="2352" width="5.7109375" style="1" customWidth="1"/>
    <col min="2353" max="2353" width="7.5703125" style="1" customWidth="1"/>
    <col min="2354" max="2354" width="7.28515625" style="1" customWidth="1"/>
    <col min="2355" max="2356" width="5.7109375" style="1" customWidth="1"/>
    <col min="2357" max="2357" width="18.140625" style="1" customWidth="1"/>
    <col min="2358" max="2372" width="5.7109375" style="1" customWidth="1"/>
    <col min="2373" max="2373" width="6.42578125" style="1" customWidth="1"/>
    <col min="2374" max="2374" width="7.42578125" style="1" customWidth="1"/>
    <col min="2375" max="2387" width="5.7109375" style="1" customWidth="1"/>
    <col min="2388" max="2388" width="6.5703125" style="1" customWidth="1"/>
    <col min="2389" max="2389" width="7.5703125" style="1" customWidth="1"/>
    <col min="2390" max="2390" width="6.5703125" style="1" customWidth="1"/>
    <col min="2391" max="2391" width="18.28515625" style="1" customWidth="1"/>
    <col min="2392" max="2562" width="8.42578125" style="1"/>
    <col min="2563" max="2563" width="10.85546875" style="1" customWidth="1"/>
    <col min="2564" max="2564" width="18.5703125" style="1" customWidth="1"/>
    <col min="2565" max="2565" width="10" style="1" customWidth="1"/>
    <col min="2566" max="2566" width="10.28515625" style="1" customWidth="1"/>
    <col min="2567" max="2571" width="8.28515625" style="1" customWidth="1"/>
    <col min="2572" max="2572" width="10.28515625" style="1" customWidth="1"/>
    <col min="2573" max="2573" width="8.28515625" style="1" customWidth="1"/>
    <col min="2574" max="2574" width="18.28515625" style="1" customWidth="1"/>
    <col min="2575" max="2575" width="6" style="1" customWidth="1"/>
    <col min="2576" max="2577" width="5.42578125" style="1" customWidth="1"/>
    <col min="2578" max="2578" width="5.5703125" style="1" customWidth="1"/>
    <col min="2579" max="2579" width="5.140625" style="1" customWidth="1"/>
    <col min="2580" max="2580" width="5.42578125" style="1" customWidth="1"/>
    <col min="2581" max="2582" width="5.140625" style="1" customWidth="1"/>
    <col min="2583" max="2583" width="5.42578125" style="1" customWidth="1"/>
    <col min="2584" max="2584" width="5.140625" style="1" customWidth="1"/>
    <col min="2585" max="2585" width="5" style="1" customWidth="1"/>
    <col min="2586" max="2586" width="5.42578125" style="1" customWidth="1"/>
    <col min="2587" max="2587" width="9.5703125" style="1" customWidth="1"/>
    <col min="2588" max="2588" width="6.85546875" style="1" customWidth="1"/>
    <col min="2589" max="2589" width="5.140625" style="1" customWidth="1"/>
    <col min="2590" max="2590" width="18.140625" style="1" customWidth="1"/>
    <col min="2591" max="2608" width="5.7109375" style="1" customWidth="1"/>
    <col min="2609" max="2609" width="7.5703125" style="1" customWidth="1"/>
    <col min="2610" max="2610" width="7.28515625" style="1" customWidth="1"/>
    <col min="2611" max="2612" width="5.7109375" style="1" customWidth="1"/>
    <col min="2613" max="2613" width="18.140625" style="1" customWidth="1"/>
    <col min="2614" max="2628" width="5.7109375" style="1" customWidth="1"/>
    <col min="2629" max="2629" width="6.42578125" style="1" customWidth="1"/>
    <col min="2630" max="2630" width="7.42578125" style="1" customWidth="1"/>
    <col min="2631" max="2643" width="5.7109375" style="1" customWidth="1"/>
    <col min="2644" max="2644" width="6.5703125" style="1" customWidth="1"/>
    <col min="2645" max="2645" width="7.5703125" style="1" customWidth="1"/>
    <col min="2646" max="2646" width="6.5703125" style="1" customWidth="1"/>
    <col min="2647" max="2647" width="18.28515625" style="1" customWidth="1"/>
    <col min="2648" max="2818" width="8.42578125" style="1"/>
    <col min="2819" max="2819" width="10.85546875" style="1" customWidth="1"/>
    <col min="2820" max="2820" width="18.5703125" style="1" customWidth="1"/>
    <col min="2821" max="2821" width="10" style="1" customWidth="1"/>
    <col min="2822" max="2822" width="10.28515625" style="1" customWidth="1"/>
    <col min="2823" max="2827" width="8.28515625" style="1" customWidth="1"/>
    <col min="2828" max="2828" width="10.28515625" style="1" customWidth="1"/>
    <col min="2829" max="2829" width="8.28515625" style="1" customWidth="1"/>
    <col min="2830" max="2830" width="18.28515625" style="1" customWidth="1"/>
    <col min="2831" max="2831" width="6" style="1" customWidth="1"/>
    <col min="2832" max="2833" width="5.42578125" style="1" customWidth="1"/>
    <col min="2834" max="2834" width="5.5703125" style="1" customWidth="1"/>
    <col min="2835" max="2835" width="5.140625" style="1" customWidth="1"/>
    <col min="2836" max="2836" width="5.42578125" style="1" customWidth="1"/>
    <col min="2837" max="2838" width="5.140625" style="1" customWidth="1"/>
    <col min="2839" max="2839" width="5.42578125" style="1" customWidth="1"/>
    <col min="2840" max="2840" width="5.140625" style="1" customWidth="1"/>
    <col min="2841" max="2841" width="5" style="1" customWidth="1"/>
    <col min="2842" max="2842" width="5.42578125" style="1" customWidth="1"/>
    <col min="2843" max="2843" width="9.5703125" style="1" customWidth="1"/>
    <col min="2844" max="2844" width="6.85546875" style="1" customWidth="1"/>
    <col min="2845" max="2845" width="5.140625" style="1" customWidth="1"/>
    <col min="2846" max="2846" width="18.140625" style="1" customWidth="1"/>
    <col min="2847" max="2864" width="5.7109375" style="1" customWidth="1"/>
    <col min="2865" max="2865" width="7.5703125" style="1" customWidth="1"/>
    <col min="2866" max="2866" width="7.28515625" style="1" customWidth="1"/>
    <col min="2867" max="2868" width="5.7109375" style="1" customWidth="1"/>
    <col min="2869" max="2869" width="18.140625" style="1" customWidth="1"/>
    <col min="2870" max="2884" width="5.7109375" style="1" customWidth="1"/>
    <col min="2885" max="2885" width="6.42578125" style="1" customWidth="1"/>
    <col min="2886" max="2886" width="7.42578125" style="1" customWidth="1"/>
    <col min="2887" max="2899" width="5.7109375" style="1" customWidth="1"/>
    <col min="2900" max="2900" width="6.5703125" style="1" customWidth="1"/>
    <col min="2901" max="2901" width="7.5703125" style="1" customWidth="1"/>
    <col min="2902" max="2902" width="6.5703125" style="1" customWidth="1"/>
    <col min="2903" max="2903" width="18.28515625" style="1" customWidth="1"/>
    <col min="2904" max="3074" width="8.42578125" style="1"/>
    <col min="3075" max="3075" width="10.85546875" style="1" customWidth="1"/>
    <col min="3076" max="3076" width="18.5703125" style="1" customWidth="1"/>
    <col min="3077" max="3077" width="10" style="1" customWidth="1"/>
    <col min="3078" max="3078" width="10.28515625" style="1" customWidth="1"/>
    <col min="3079" max="3083" width="8.28515625" style="1" customWidth="1"/>
    <col min="3084" max="3084" width="10.28515625" style="1" customWidth="1"/>
    <col min="3085" max="3085" width="8.28515625" style="1" customWidth="1"/>
    <col min="3086" max="3086" width="18.28515625" style="1" customWidth="1"/>
    <col min="3087" max="3087" width="6" style="1" customWidth="1"/>
    <col min="3088" max="3089" width="5.42578125" style="1" customWidth="1"/>
    <col min="3090" max="3090" width="5.5703125" style="1" customWidth="1"/>
    <col min="3091" max="3091" width="5.140625" style="1" customWidth="1"/>
    <col min="3092" max="3092" width="5.42578125" style="1" customWidth="1"/>
    <col min="3093" max="3094" width="5.140625" style="1" customWidth="1"/>
    <col min="3095" max="3095" width="5.42578125" style="1" customWidth="1"/>
    <col min="3096" max="3096" width="5.140625" style="1" customWidth="1"/>
    <col min="3097" max="3097" width="5" style="1" customWidth="1"/>
    <col min="3098" max="3098" width="5.42578125" style="1" customWidth="1"/>
    <col min="3099" max="3099" width="9.5703125" style="1" customWidth="1"/>
    <col min="3100" max="3100" width="6.85546875" style="1" customWidth="1"/>
    <col min="3101" max="3101" width="5.140625" style="1" customWidth="1"/>
    <col min="3102" max="3102" width="18.140625" style="1" customWidth="1"/>
    <col min="3103" max="3120" width="5.7109375" style="1" customWidth="1"/>
    <col min="3121" max="3121" width="7.5703125" style="1" customWidth="1"/>
    <col min="3122" max="3122" width="7.28515625" style="1" customWidth="1"/>
    <col min="3123" max="3124" width="5.7109375" style="1" customWidth="1"/>
    <col min="3125" max="3125" width="18.140625" style="1" customWidth="1"/>
    <col min="3126" max="3140" width="5.7109375" style="1" customWidth="1"/>
    <col min="3141" max="3141" width="6.42578125" style="1" customWidth="1"/>
    <col min="3142" max="3142" width="7.42578125" style="1" customWidth="1"/>
    <col min="3143" max="3155" width="5.7109375" style="1" customWidth="1"/>
    <col min="3156" max="3156" width="6.5703125" style="1" customWidth="1"/>
    <col min="3157" max="3157" width="7.5703125" style="1" customWidth="1"/>
    <col min="3158" max="3158" width="6.5703125" style="1" customWidth="1"/>
    <col min="3159" max="3159" width="18.28515625" style="1" customWidth="1"/>
    <col min="3160" max="3330" width="8.42578125" style="1"/>
    <col min="3331" max="3331" width="10.85546875" style="1" customWidth="1"/>
    <col min="3332" max="3332" width="18.5703125" style="1" customWidth="1"/>
    <col min="3333" max="3333" width="10" style="1" customWidth="1"/>
    <col min="3334" max="3334" width="10.28515625" style="1" customWidth="1"/>
    <col min="3335" max="3339" width="8.28515625" style="1" customWidth="1"/>
    <col min="3340" max="3340" width="10.28515625" style="1" customWidth="1"/>
    <col min="3341" max="3341" width="8.28515625" style="1" customWidth="1"/>
    <col min="3342" max="3342" width="18.28515625" style="1" customWidth="1"/>
    <col min="3343" max="3343" width="6" style="1" customWidth="1"/>
    <col min="3344" max="3345" width="5.42578125" style="1" customWidth="1"/>
    <col min="3346" max="3346" width="5.5703125" style="1" customWidth="1"/>
    <col min="3347" max="3347" width="5.140625" style="1" customWidth="1"/>
    <col min="3348" max="3348" width="5.42578125" style="1" customWidth="1"/>
    <col min="3349" max="3350" width="5.140625" style="1" customWidth="1"/>
    <col min="3351" max="3351" width="5.42578125" style="1" customWidth="1"/>
    <col min="3352" max="3352" width="5.140625" style="1" customWidth="1"/>
    <col min="3353" max="3353" width="5" style="1" customWidth="1"/>
    <col min="3354" max="3354" width="5.42578125" style="1" customWidth="1"/>
    <col min="3355" max="3355" width="9.5703125" style="1" customWidth="1"/>
    <col min="3356" max="3356" width="6.85546875" style="1" customWidth="1"/>
    <col min="3357" max="3357" width="5.140625" style="1" customWidth="1"/>
    <col min="3358" max="3358" width="18.140625" style="1" customWidth="1"/>
    <col min="3359" max="3376" width="5.7109375" style="1" customWidth="1"/>
    <col min="3377" max="3377" width="7.5703125" style="1" customWidth="1"/>
    <col min="3378" max="3378" width="7.28515625" style="1" customWidth="1"/>
    <col min="3379" max="3380" width="5.7109375" style="1" customWidth="1"/>
    <col min="3381" max="3381" width="18.140625" style="1" customWidth="1"/>
    <col min="3382" max="3396" width="5.7109375" style="1" customWidth="1"/>
    <col min="3397" max="3397" width="6.42578125" style="1" customWidth="1"/>
    <col min="3398" max="3398" width="7.42578125" style="1" customWidth="1"/>
    <col min="3399" max="3411" width="5.7109375" style="1" customWidth="1"/>
    <col min="3412" max="3412" width="6.5703125" style="1" customWidth="1"/>
    <col min="3413" max="3413" width="7.5703125" style="1" customWidth="1"/>
    <col min="3414" max="3414" width="6.5703125" style="1" customWidth="1"/>
    <col min="3415" max="3415" width="18.28515625" style="1" customWidth="1"/>
    <col min="3416" max="3586" width="8.42578125" style="1"/>
    <col min="3587" max="3587" width="10.85546875" style="1" customWidth="1"/>
    <col min="3588" max="3588" width="18.5703125" style="1" customWidth="1"/>
    <col min="3589" max="3589" width="10" style="1" customWidth="1"/>
    <col min="3590" max="3590" width="10.28515625" style="1" customWidth="1"/>
    <col min="3591" max="3595" width="8.28515625" style="1" customWidth="1"/>
    <col min="3596" max="3596" width="10.28515625" style="1" customWidth="1"/>
    <col min="3597" max="3597" width="8.28515625" style="1" customWidth="1"/>
    <col min="3598" max="3598" width="18.28515625" style="1" customWidth="1"/>
    <col min="3599" max="3599" width="6" style="1" customWidth="1"/>
    <col min="3600" max="3601" width="5.42578125" style="1" customWidth="1"/>
    <col min="3602" max="3602" width="5.5703125" style="1" customWidth="1"/>
    <col min="3603" max="3603" width="5.140625" style="1" customWidth="1"/>
    <col min="3604" max="3604" width="5.42578125" style="1" customWidth="1"/>
    <col min="3605" max="3606" width="5.140625" style="1" customWidth="1"/>
    <col min="3607" max="3607" width="5.42578125" style="1" customWidth="1"/>
    <col min="3608" max="3608" width="5.140625" style="1" customWidth="1"/>
    <col min="3609" max="3609" width="5" style="1" customWidth="1"/>
    <col min="3610" max="3610" width="5.42578125" style="1" customWidth="1"/>
    <col min="3611" max="3611" width="9.5703125" style="1" customWidth="1"/>
    <col min="3612" max="3612" width="6.85546875" style="1" customWidth="1"/>
    <col min="3613" max="3613" width="5.140625" style="1" customWidth="1"/>
    <col min="3614" max="3614" width="18.140625" style="1" customWidth="1"/>
    <col min="3615" max="3632" width="5.7109375" style="1" customWidth="1"/>
    <col min="3633" max="3633" width="7.5703125" style="1" customWidth="1"/>
    <col min="3634" max="3634" width="7.28515625" style="1" customWidth="1"/>
    <col min="3635" max="3636" width="5.7109375" style="1" customWidth="1"/>
    <col min="3637" max="3637" width="18.140625" style="1" customWidth="1"/>
    <col min="3638" max="3652" width="5.7109375" style="1" customWidth="1"/>
    <col min="3653" max="3653" width="6.42578125" style="1" customWidth="1"/>
    <col min="3654" max="3654" width="7.42578125" style="1" customWidth="1"/>
    <col min="3655" max="3667" width="5.7109375" style="1" customWidth="1"/>
    <col min="3668" max="3668" width="6.5703125" style="1" customWidth="1"/>
    <col min="3669" max="3669" width="7.5703125" style="1" customWidth="1"/>
    <col min="3670" max="3670" width="6.5703125" style="1" customWidth="1"/>
    <col min="3671" max="3671" width="18.28515625" style="1" customWidth="1"/>
    <col min="3672" max="3842" width="8.42578125" style="1"/>
    <col min="3843" max="3843" width="10.85546875" style="1" customWidth="1"/>
    <col min="3844" max="3844" width="18.5703125" style="1" customWidth="1"/>
    <col min="3845" max="3845" width="10" style="1" customWidth="1"/>
    <col min="3846" max="3846" width="10.28515625" style="1" customWidth="1"/>
    <col min="3847" max="3851" width="8.28515625" style="1" customWidth="1"/>
    <col min="3852" max="3852" width="10.28515625" style="1" customWidth="1"/>
    <col min="3853" max="3853" width="8.28515625" style="1" customWidth="1"/>
    <col min="3854" max="3854" width="18.28515625" style="1" customWidth="1"/>
    <col min="3855" max="3855" width="6" style="1" customWidth="1"/>
    <col min="3856" max="3857" width="5.42578125" style="1" customWidth="1"/>
    <col min="3858" max="3858" width="5.5703125" style="1" customWidth="1"/>
    <col min="3859" max="3859" width="5.140625" style="1" customWidth="1"/>
    <col min="3860" max="3860" width="5.42578125" style="1" customWidth="1"/>
    <col min="3861" max="3862" width="5.140625" style="1" customWidth="1"/>
    <col min="3863" max="3863" width="5.42578125" style="1" customWidth="1"/>
    <col min="3864" max="3864" width="5.140625" style="1" customWidth="1"/>
    <col min="3865" max="3865" width="5" style="1" customWidth="1"/>
    <col min="3866" max="3866" width="5.42578125" style="1" customWidth="1"/>
    <col min="3867" max="3867" width="9.5703125" style="1" customWidth="1"/>
    <col min="3868" max="3868" width="6.85546875" style="1" customWidth="1"/>
    <col min="3869" max="3869" width="5.140625" style="1" customWidth="1"/>
    <col min="3870" max="3870" width="18.140625" style="1" customWidth="1"/>
    <col min="3871" max="3888" width="5.7109375" style="1" customWidth="1"/>
    <col min="3889" max="3889" width="7.5703125" style="1" customWidth="1"/>
    <col min="3890" max="3890" width="7.28515625" style="1" customWidth="1"/>
    <col min="3891" max="3892" width="5.7109375" style="1" customWidth="1"/>
    <col min="3893" max="3893" width="18.140625" style="1" customWidth="1"/>
    <col min="3894" max="3908" width="5.7109375" style="1" customWidth="1"/>
    <col min="3909" max="3909" width="6.42578125" style="1" customWidth="1"/>
    <col min="3910" max="3910" width="7.42578125" style="1" customWidth="1"/>
    <col min="3911" max="3923" width="5.7109375" style="1" customWidth="1"/>
    <col min="3924" max="3924" width="6.5703125" style="1" customWidth="1"/>
    <col min="3925" max="3925" width="7.5703125" style="1" customWidth="1"/>
    <col min="3926" max="3926" width="6.5703125" style="1" customWidth="1"/>
    <col min="3927" max="3927" width="18.28515625" style="1" customWidth="1"/>
    <col min="3928" max="4098" width="8.42578125" style="1"/>
    <col min="4099" max="4099" width="10.85546875" style="1" customWidth="1"/>
    <col min="4100" max="4100" width="18.5703125" style="1" customWidth="1"/>
    <col min="4101" max="4101" width="10" style="1" customWidth="1"/>
    <col min="4102" max="4102" width="10.28515625" style="1" customWidth="1"/>
    <col min="4103" max="4107" width="8.28515625" style="1" customWidth="1"/>
    <col min="4108" max="4108" width="10.28515625" style="1" customWidth="1"/>
    <col min="4109" max="4109" width="8.28515625" style="1" customWidth="1"/>
    <col min="4110" max="4110" width="18.28515625" style="1" customWidth="1"/>
    <col min="4111" max="4111" width="6" style="1" customWidth="1"/>
    <col min="4112" max="4113" width="5.42578125" style="1" customWidth="1"/>
    <col min="4114" max="4114" width="5.5703125" style="1" customWidth="1"/>
    <col min="4115" max="4115" width="5.140625" style="1" customWidth="1"/>
    <col min="4116" max="4116" width="5.42578125" style="1" customWidth="1"/>
    <col min="4117" max="4118" width="5.140625" style="1" customWidth="1"/>
    <col min="4119" max="4119" width="5.42578125" style="1" customWidth="1"/>
    <col min="4120" max="4120" width="5.140625" style="1" customWidth="1"/>
    <col min="4121" max="4121" width="5" style="1" customWidth="1"/>
    <col min="4122" max="4122" width="5.42578125" style="1" customWidth="1"/>
    <col min="4123" max="4123" width="9.5703125" style="1" customWidth="1"/>
    <col min="4124" max="4124" width="6.85546875" style="1" customWidth="1"/>
    <col min="4125" max="4125" width="5.140625" style="1" customWidth="1"/>
    <col min="4126" max="4126" width="18.140625" style="1" customWidth="1"/>
    <col min="4127" max="4144" width="5.7109375" style="1" customWidth="1"/>
    <col min="4145" max="4145" width="7.5703125" style="1" customWidth="1"/>
    <col min="4146" max="4146" width="7.28515625" style="1" customWidth="1"/>
    <col min="4147" max="4148" width="5.7109375" style="1" customWidth="1"/>
    <col min="4149" max="4149" width="18.140625" style="1" customWidth="1"/>
    <col min="4150" max="4164" width="5.7109375" style="1" customWidth="1"/>
    <col min="4165" max="4165" width="6.42578125" style="1" customWidth="1"/>
    <col min="4166" max="4166" width="7.42578125" style="1" customWidth="1"/>
    <col min="4167" max="4179" width="5.7109375" style="1" customWidth="1"/>
    <col min="4180" max="4180" width="6.5703125" style="1" customWidth="1"/>
    <col min="4181" max="4181" width="7.5703125" style="1" customWidth="1"/>
    <col min="4182" max="4182" width="6.5703125" style="1" customWidth="1"/>
    <col min="4183" max="4183" width="18.28515625" style="1" customWidth="1"/>
    <col min="4184" max="4354" width="8.42578125" style="1"/>
    <col min="4355" max="4355" width="10.85546875" style="1" customWidth="1"/>
    <col min="4356" max="4356" width="18.5703125" style="1" customWidth="1"/>
    <col min="4357" max="4357" width="10" style="1" customWidth="1"/>
    <col min="4358" max="4358" width="10.28515625" style="1" customWidth="1"/>
    <col min="4359" max="4363" width="8.28515625" style="1" customWidth="1"/>
    <col min="4364" max="4364" width="10.28515625" style="1" customWidth="1"/>
    <col min="4365" max="4365" width="8.28515625" style="1" customWidth="1"/>
    <col min="4366" max="4366" width="18.28515625" style="1" customWidth="1"/>
    <col min="4367" max="4367" width="6" style="1" customWidth="1"/>
    <col min="4368" max="4369" width="5.42578125" style="1" customWidth="1"/>
    <col min="4370" max="4370" width="5.5703125" style="1" customWidth="1"/>
    <col min="4371" max="4371" width="5.140625" style="1" customWidth="1"/>
    <col min="4372" max="4372" width="5.42578125" style="1" customWidth="1"/>
    <col min="4373" max="4374" width="5.140625" style="1" customWidth="1"/>
    <col min="4375" max="4375" width="5.42578125" style="1" customWidth="1"/>
    <col min="4376" max="4376" width="5.140625" style="1" customWidth="1"/>
    <col min="4377" max="4377" width="5" style="1" customWidth="1"/>
    <col min="4378" max="4378" width="5.42578125" style="1" customWidth="1"/>
    <col min="4379" max="4379" width="9.5703125" style="1" customWidth="1"/>
    <col min="4380" max="4380" width="6.85546875" style="1" customWidth="1"/>
    <col min="4381" max="4381" width="5.140625" style="1" customWidth="1"/>
    <col min="4382" max="4382" width="18.140625" style="1" customWidth="1"/>
    <col min="4383" max="4400" width="5.7109375" style="1" customWidth="1"/>
    <col min="4401" max="4401" width="7.5703125" style="1" customWidth="1"/>
    <col min="4402" max="4402" width="7.28515625" style="1" customWidth="1"/>
    <col min="4403" max="4404" width="5.7109375" style="1" customWidth="1"/>
    <col min="4405" max="4405" width="18.140625" style="1" customWidth="1"/>
    <col min="4406" max="4420" width="5.7109375" style="1" customWidth="1"/>
    <col min="4421" max="4421" width="6.42578125" style="1" customWidth="1"/>
    <col min="4422" max="4422" width="7.42578125" style="1" customWidth="1"/>
    <col min="4423" max="4435" width="5.7109375" style="1" customWidth="1"/>
    <col min="4436" max="4436" width="6.5703125" style="1" customWidth="1"/>
    <col min="4437" max="4437" width="7.5703125" style="1" customWidth="1"/>
    <col min="4438" max="4438" width="6.5703125" style="1" customWidth="1"/>
    <col min="4439" max="4439" width="18.28515625" style="1" customWidth="1"/>
    <col min="4440" max="4610" width="8.42578125" style="1"/>
    <col min="4611" max="4611" width="10.85546875" style="1" customWidth="1"/>
    <col min="4612" max="4612" width="18.5703125" style="1" customWidth="1"/>
    <col min="4613" max="4613" width="10" style="1" customWidth="1"/>
    <col min="4614" max="4614" width="10.28515625" style="1" customWidth="1"/>
    <col min="4615" max="4619" width="8.28515625" style="1" customWidth="1"/>
    <col min="4620" max="4620" width="10.28515625" style="1" customWidth="1"/>
    <col min="4621" max="4621" width="8.28515625" style="1" customWidth="1"/>
    <col min="4622" max="4622" width="18.28515625" style="1" customWidth="1"/>
    <col min="4623" max="4623" width="6" style="1" customWidth="1"/>
    <col min="4624" max="4625" width="5.42578125" style="1" customWidth="1"/>
    <col min="4626" max="4626" width="5.5703125" style="1" customWidth="1"/>
    <col min="4627" max="4627" width="5.140625" style="1" customWidth="1"/>
    <col min="4628" max="4628" width="5.42578125" style="1" customWidth="1"/>
    <col min="4629" max="4630" width="5.140625" style="1" customWidth="1"/>
    <col min="4631" max="4631" width="5.42578125" style="1" customWidth="1"/>
    <col min="4632" max="4632" width="5.140625" style="1" customWidth="1"/>
    <col min="4633" max="4633" width="5" style="1" customWidth="1"/>
    <col min="4634" max="4634" width="5.42578125" style="1" customWidth="1"/>
    <col min="4635" max="4635" width="9.5703125" style="1" customWidth="1"/>
    <col min="4636" max="4636" width="6.85546875" style="1" customWidth="1"/>
    <col min="4637" max="4637" width="5.140625" style="1" customWidth="1"/>
    <col min="4638" max="4638" width="18.140625" style="1" customWidth="1"/>
    <col min="4639" max="4656" width="5.7109375" style="1" customWidth="1"/>
    <col min="4657" max="4657" width="7.5703125" style="1" customWidth="1"/>
    <col min="4658" max="4658" width="7.28515625" style="1" customWidth="1"/>
    <col min="4659" max="4660" width="5.7109375" style="1" customWidth="1"/>
    <col min="4661" max="4661" width="18.140625" style="1" customWidth="1"/>
    <col min="4662" max="4676" width="5.7109375" style="1" customWidth="1"/>
    <col min="4677" max="4677" width="6.42578125" style="1" customWidth="1"/>
    <col min="4678" max="4678" width="7.42578125" style="1" customWidth="1"/>
    <col min="4679" max="4691" width="5.7109375" style="1" customWidth="1"/>
    <col min="4692" max="4692" width="6.5703125" style="1" customWidth="1"/>
    <col min="4693" max="4693" width="7.5703125" style="1" customWidth="1"/>
    <col min="4694" max="4694" width="6.5703125" style="1" customWidth="1"/>
    <col min="4695" max="4695" width="18.28515625" style="1" customWidth="1"/>
    <col min="4696" max="4866" width="8.42578125" style="1"/>
    <col min="4867" max="4867" width="10.85546875" style="1" customWidth="1"/>
    <col min="4868" max="4868" width="18.5703125" style="1" customWidth="1"/>
    <col min="4869" max="4869" width="10" style="1" customWidth="1"/>
    <col min="4870" max="4870" width="10.28515625" style="1" customWidth="1"/>
    <col min="4871" max="4875" width="8.28515625" style="1" customWidth="1"/>
    <col min="4876" max="4876" width="10.28515625" style="1" customWidth="1"/>
    <col min="4877" max="4877" width="8.28515625" style="1" customWidth="1"/>
    <col min="4878" max="4878" width="18.28515625" style="1" customWidth="1"/>
    <col min="4879" max="4879" width="6" style="1" customWidth="1"/>
    <col min="4880" max="4881" width="5.42578125" style="1" customWidth="1"/>
    <col min="4882" max="4882" width="5.5703125" style="1" customWidth="1"/>
    <col min="4883" max="4883" width="5.140625" style="1" customWidth="1"/>
    <col min="4884" max="4884" width="5.42578125" style="1" customWidth="1"/>
    <col min="4885" max="4886" width="5.140625" style="1" customWidth="1"/>
    <col min="4887" max="4887" width="5.42578125" style="1" customWidth="1"/>
    <col min="4888" max="4888" width="5.140625" style="1" customWidth="1"/>
    <col min="4889" max="4889" width="5" style="1" customWidth="1"/>
    <col min="4890" max="4890" width="5.42578125" style="1" customWidth="1"/>
    <col min="4891" max="4891" width="9.5703125" style="1" customWidth="1"/>
    <col min="4892" max="4892" width="6.85546875" style="1" customWidth="1"/>
    <col min="4893" max="4893" width="5.140625" style="1" customWidth="1"/>
    <col min="4894" max="4894" width="18.140625" style="1" customWidth="1"/>
    <col min="4895" max="4912" width="5.7109375" style="1" customWidth="1"/>
    <col min="4913" max="4913" width="7.5703125" style="1" customWidth="1"/>
    <col min="4914" max="4914" width="7.28515625" style="1" customWidth="1"/>
    <col min="4915" max="4916" width="5.7109375" style="1" customWidth="1"/>
    <col min="4917" max="4917" width="18.140625" style="1" customWidth="1"/>
    <col min="4918" max="4932" width="5.7109375" style="1" customWidth="1"/>
    <col min="4933" max="4933" width="6.42578125" style="1" customWidth="1"/>
    <col min="4934" max="4934" width="7.42578125" style="1" customWidth="1"/>
    <col min="4935" max="4947" width="5.7109375" style="1" customWidth="1"/>
    <col min="4948" max="4948" width="6.5703125" style="1" customWidth="1"/>
    <col min="4949" max="4949" width="7.5703125" style="1" customWidth="1"/>
    <col min="4950" max="4950" width="6.5703125" style="1" customWidth="1"/>
    <col min="4951" max="4951" width="18.28515625" style="1" customWidth="1"/>
    <col min="4952" max="5122" width="8.42578125" style="1"/>
    <col min="5123" max="5123" width="10.85546875" style="1" customWidth="1"/>
    <col min="5124" max="5124" width="18.5703125" style="1" customWidth="1"/>
    <col min="5125" max="5125" width="10" style="1" customWidth="1"/>
    <col min="5126" max="5126" width="10.28515625" style="1" customWidth="1"/>
    <col min="5127" max="5131" width="8.28515625" style="1" customWidth="1"/>
    <col min="5132" max="5132" width="10.28515625" style="1" customWidth="1"/>
    <col min="5133" max="5133" width="8.28515625" style="1" customWidth="1"/>
    <col min="5134" max="5134" width="18.28515625" style="1" customWidth="1"/>
    <col min="5135" max="5135" width="6" style="1" customWidth="1"/>
    <col min="5136" max="5137" width="5.42578125" style="1" customWidth="1"/>
    <col min="5138" max="5138" width="5.5703125" style="1" customWidth="1"/>
    <col min="5139" max="5139" width="5.140625" style="1" customWidth="1"/>
    <col min="5140" max="5140" width="5.42578125" style="1" customWidth="1"/>
    <col min="5141" max="5142" width="5.140625" style="1" customWidth="1"/>
    <col min="5143" max="5143" width="5.42578125" style="1" customWidth="1"/>
    <col min="5144" max="5144" width="5.140625" style="1" customWidth="1"/>
    <col min="5145" max="5145" width="5" style="1" customWidth="1"/>
    <col min="5146" max="5146" width="5.42578125" style="1" customWidth="1"/>
    <col min="5147" max="5147" width="9.5703125" style="1" customWidth="1"/>
    <col min="5148" max="5148" width="6.85546875" style="1" customWidth="1"/>
    <col min="5149" max="5149" width="5.140625" style="1" customWidth="1"/>
    <col min="5150" max="5150" width="18.140625" style="1" customWidth="1"/>
    <col min="5151" max="5168" width="5.7109375" style="1" customWidth="1"/>
    <col min="5169" max="5169" width="7.5703125" style="1" customWidth="1"/>
    <col min="5170" max="5170" width="7.28515625" style="1" customWidth="1"/>
    <col min="5171" max="5172" width="5.7109375" style="1" customWidth="1"/>
    <col min="5173" max="5173" width="18.140625" style="1" customWidth="1"/>
    <col min="5174" max="5188" width="5.7109375" style="1" customWidth="1"/>
    <col min="5189" max="5189" width="6.42578125" style="1" customWidth="1"/>
    <col min="5190" max="5190" width="7.42578125" style="1" customWidth="1"/>
    <col min="5191" max="5203" width="5.7109375" style="1" customWidth="1"/>
    <col min="5204" max="5204" width="6.5703125" style="1" customWidth="1"/>
    <col min="5205" max="5205" width="7.5703125" style="1" customWidth="1"/>
    <col min="5206" max="5206" width="6.5703125" style="1" customWidth="1"/>
    <col min="5207" max="5207" width="18.28515625" style="1" customWidth="1"/>
    <col min="5208" max="5378" width="8.42578125" style="1"/>
    <col min="5379" max="5379" width="10.85546875" style="1" customWidth="1"/>
    <col min="5380" max="5380" width="18.5703125" style="1" customWidth="1"/>
    <col min="5381" max="5381" width="10" style="1" customWidth="1"/>
    <col min="5382" max="5382" width="10.28515625" style="1" customWidth="1"/>
    <col min="5383" max="5387" width="8.28515625" style="1" customWidth="1"/>
    <col min="5388" max="5388" width="10.28515625" style="1" customWidth="1"/>
    <col min="5389" max="5389" width="8.28515625" style="1" customWidth="1"/>
    <col min="5390" max="5390" width="18.28515625" style="1" customWidth="1"/>
    <col min="5391" max="5391" width="6" style="1" customWidth="1"/>
    <col min="5392" max="5393" width="5.42578125" style="1" customWidth="1"/>
    <col min="5394" max="5394" width="5.5703125" style="1" customWidth="1"/>
    <col min="5395" max="5395" width="5.140625" style="1" customWidth="1"/>
    <col min="5396" max="5396" width="5.42578125" style="1" customWidth="1"/>
    <col min="5397" max="5398" width="5.140625" style="1" customWidth="1"/>
    <col min="5399" max="5399" width="5.42578125" style="1" customWidth="1"/>
    <col min="5400" max="5400" width="5.140625" style="1" customWidth="1"/>
    <col min="5401" max="5401" width="5" style="1" customWidth="1"/>
    <col min="5402" max="5402" width="5.42578125" style="1" customWidth="1"/>
    <col min="5403" max="5403" width="9.5703125" style="1" customWidth="1"/>
    <col min="5404" max="5404" width="6.85546875" style="1" customWidth="1"/>
    <col min="5405" max="5405" width="5.140625" style="1" customWidth="1"/>
    <col min="5406" max="5406" width="18.140625" style="1" customWidth="1"/>
    <col min="5407" max="5424" width="5.7109375" style="1" customWidth="1"/>
    <col min="5425" max="5425" width="7.5703125" style="1" customWidth="1"/>
    <col min="5426" max="5426" width="7.28515625" style="1" customWidth="1"/>
    <col min="5427" max="5428" width="5.7109375" style="1" customWidth="1"/>
    <col min="5429" max="5429" width="18.140625" style="1" customWidth="1"/>
    <col min="5430" max="5444" width="5.7109375" style="1" customWidth="1"/>
    <col min="5445" max="5445" width="6.42578125" style="1" customWidth="1"/>
    <col min="5446" max="5446" width="7.42578125" style="1" customWidth="1"/>
    <col min="5447" max="5459" width="5.7109375" style="1" customWidth="1"/>
    <col min="5460" max="5460" width="6.5703125" style="1" customWidth="1"/>
    <col min="5461" max="5461" width="7.5703125" style="1" customWidth="1"/>
    <col min="5462" max="5462" width="6.5703125" style="1" customWidth="1"/>
    <col min="5463" max="5463" width="18.28515625" style="1" customWidth="1"/>
    <col min="5464" max="5634" width="8.42578125" style="1"/>
    <col min="5635" max="5635" width="10.85546875" style="1" customWidth="1"/>
    <col min="5636" max="5636" width="18.5703125" style="1" customWidth="1"/>
    <col min="5637" max="5637" width="10" style="1" customWidth="1"/>
    <col min="5638" max="5638" width="10.28515625" style="1" customWidth="1"/>
    <col min="5639" max="5643" width="8.28515625" style="1" customWidth="1"/>
    <col min="5644" max="5644" width="10.28515625" style="1" customWidth="1"/>
    <col min="5645" max="5645" width="8.28515625" style="1" customWidth="1"/>
    <col min="5646" max="5646" width="18.28515625" style="1" customWidth="1"/>
    <col min="5647" max="5647" width="6" style="1" customWidth="1"/>
    <col min="5648" max="5649" width="5.42578125" style="1" customWidth="1"/>
    <col min="5650" max="5650" width="5.5703125" style="1" customWidth="1"/>
    <col min="5651" max="5651" width="5.140625" style="1" customWidth="1"/>
    <col min="5652" max="5652" width="5.42578125" style="1" customWidth="1"/>
    <col min="5653" max="5654" width="5.140625" style="1" customWidth="1"/>
    <col min="5655" max="5655" width="5.42578125" style="1" customWidth="1"/>
    <col min="5656" max="5656" width="5.140625" style="1" customWidth="1"/>
    <col min="5657" max="5657" width="5" style="1" customWidth="1"/>
    <col min="5658" max="5658" width="5.42578125" style="1" customWidth="1"/>
    <col min="5659" max="5659" width="9.5703125" style="1" customWidth="1"/>
    <col min="5660" max="5660" width="6.85546875" style="1" customWidth="1"/>
    <col min="5661" max="5661" width="5.140625" style="1" customWidth="1"/>
    <col min="5662" max="5662" width="18.140625" style="1" customWidth="1"/>
    <col min="5663" max="5680" width="5.7109375" style="1" customWidth="1"/>
    <col min="5681" max="5681" width="7.5703125" style="1" customWidth="1"/>
    <col min="5682" max="5682" width="7.28515625" style="1" customWidth="1"/>
    <col min="5683" max="5684" width="5.7109375" style="1" customWidth="1"/>
    <col min="5685" max="5685" width="18.140625" style="1" customWidth="1"/>
    <col min="5686" max="5700" width="5.7109375" style="1" customWidth="1"/>
    <col min="5701" max="5701" width="6.42578125" style="1" customWidth="1"/>
    <col min="5702" max="5702" width="7.42578125" style="1" customWidth="1"/>
    <col min="5703" max="5715" width="5.7109375" style="1" customWidth="1"/>
    <col min="5716" max="5716" width="6.5703125" style="1" customWidth="1"/>
    <col min="5717" max="5717" width="7.5703125" style="1" customWidth="1"/>
    <col min="5718" max="5718" width="6.5703125" style="1" customWidth="1"/>
    <col min="5719" max="5719" width="18.28515625" style="1" customWidth="1"/>
    <col min="5720" max="5890" width="8.42578125" style="1"/>
    <col min="5891" max="5891" width="10.85546875" style="1" customWidth="1"/>
    <col min="5892" max="5892" width="18.5703125" style="1" customWidth="1"/>
    <col min="5893" max="5893" width="10" style="1" customWidth="1"/>
    <col min="5894" max="5894" width="10.28515625" style="1" customWidth="1"/>
    <col min="5895" max="5899" width="8.28515625" style="1" customWidth="1"/>
    <col min="5900" max="5900" width="10.28515625" style="1" customWidth="1"/>
    <col min="5901" max="5901" width="8.28515625" style="1" customWidth="1"/>
    <col min="5902" max="5902" width="18.28515625" style="1" customWidth="1"/>
    <col min="5903" max="5903" width="6" style="1" customWidth="1"/>
    <col min="5904" max="5905" width="5.42578125" style="1" customWidth="1"/>
    <col min="5906" max="5906" width="5.5703125" style="1" customWidth="1"/>
    <col min="5907" max="5907" width="5.140625" style="1" customWidth="1"/>
    <col min="5908" max="5908" width="5.42578125" style="1" customWidth="1"/>
    <col min="5909" max="5910" width="5.140625" style="1" customWidth="1"/>
    <col min="5911" max="5911" width="5.42578125" style="1" customWidth="1"/>
    <col min="5912" max="5912" width="5.140625" style="1" customWidth="1"/>
    <col min="5913" max="5913" width="5" style="1" customWidth="1"/>
    <col min="5914" max="5914" width="5.42578125" style="1" customWidth="1"/>
    <col min="5915" max="5915" width="9.5703125" style="1" customWidth="1"/>
    <col min="5916" max="5916" width="6.85546875" style="1" customWidth="1"/>
    <col min="5917" max="5917" width="5.140625" style="1" customWidth="1"/>
    <col min="5918" max="5918" width="18.140625" style="1" customWidth="1"/>
    <col min="5919" max="5936" width="5.7109375" style="1" customWidth="1"/>
    <col min="5937" max="5937" width="7.5703125" style="1" customWidth="1"/>
    <col min="5938" max="5938" width="7.28515625" style="1" customWidth="1"/>
    <col min="5939" max="5940" width="5.7109375" style="1" customWidth="1"/>
    <col min="5941" max="5941" width="18.140625" style="1" customWidth="1"/>
    <col min="5942" max="5956" width="5.7109375" style="1" customWidth="1"/>
    <col min="5957" max="5957" width="6.42578125" style="1" customWidth="1"/>
    <col min="5958" max="5958" width="7.42578125" style="1" customWidth="1"/>
    <col min="5959" max="5971" width="5.7109375" style="1" customWidth="1"/>
    <col min="5972" max="5972" width="6.5703125" style="1" customWidth="1"/>
    <col min="5973" max="5973" width="7.5703125" style="1" customWidth="1"/>
    <col min="5974" max="5974" width="6.5703125" style="1" customWidth="1"/>
    <col min="5975" max="5975" width="18.28515625" style="1" customWidth="1"/>
    <col min="5976" max="6146" width="8.42578125" style="1"/>
    <col min="6147" max="6147" width="10.85546875" style="1" customWidth="1"/>
    <col min="6148" max="6148" width="18.5703125" style="1" customWidth="1"/>
    <col min="6149" max="6149" width="10" style="1" customWidth="1"/>
    <col min="6150" max="6150" width="10.28515625" style="1" customWidth="1"/>
    <col min="6151" max="6155" width="8.28515625" style="1" customWidth="1"/>
    <col min="6156" max="6156" width="10.28515625" style="1" customWidth="1"/>
    <col min="6157" max="6157" width="8.28515625" style="1" customWidth="1"/>
    <col min="6158" max="6158" width="18.28515625" style="1" customWidth="1"/>
    <col min="6159" max="6159" width="6" style="1" customWidth="1"/>
    <col min="6160" max="6161" width="5.42578125" style="1" customWidth="1"/>
    <col min="6162" max="6162" width="5.5703125" style="1" customWidth="1"/>
    <col min="6163" max="6163" width="5.140625" style="1" customWidth="1"/>
    <col min="6164" max="6164" width="5.42578125" style="1" customWidth="1"/>
    <col min="6165" max="6166" width="5.140625" style="1" customWidth="1"/>
    <col min="6167" max="6167" width="5.42578125" style="1" customWidth="1"/>
    <col min="6168" max="6168" width="5.140625" style="1" customWidth="1"/>
    <col min="6169" max="6169" width="5" style="1" customWidth="1"/>
    <col min="6170" max="6170" width="5.42578125" style="1" customWidth="1"/>
    <col min="6171" max="6171" width="9.5703125" style="1" customWidth="1"/>
    <col min="6172" max="6172" width="6.85546875" style="1" customWidth="1"/>
    <col min="6173" max="6173" width="5.140625" style="1" customWidth="1"/>
    <col min="6174" max="6174" width="18.140625" style="1" customWidth="1"/>
    <col min="6175" max="6192" width="5.7109375" style="1" customWidth="1"/>
    <col min="6193" max="6193" width="7.5703125" style="1" customWidth="1"/>
    <col min="6194" max="6194" width="7.28515625" style="1" customWidth="1"/>
    <col min="6195" max="6196" width="5.7109375" style="1" customWidth="1"/>
    <col min="6197" max="6197" width="18.140625" style="1" customWidth="1"/>
    <col min="6198" max="6212" width="5.7109375" style="1" customWidth="1"/>
    <col min="6213" max="6213" width="6.42578125" style="1" customWidth="1"/>
    <col min="6214" max="6214" width="7.42578125" style="1" customWidth="1"/>
    <col min="6215" max="6227" width="5.7109375" style="1" customWidth="1"/>
    <col min="6228" max="6228" width="6.5703125" style="1" customWidth="1"/>
    <col min="6229" max="6229" width="7.5703125" style="1" customWidth="1"/>
    <col min="6230" max="6230" width="6.5703125" style="1" customWidth="1"/>
    <col min="6231" max="6231" width="18.28515625" style="1" customWidth="1"/>
    <col min="6232" max="6402" width="8.42578125" style="1"/>
    <col min="6403" max="6403" width="10.85546875" style="1" customWidth="1"/>
    <col min="6404" max="6404" width="18.5703125" style="1" customWidth="1"/>
    <col min="6405" max="6405" width="10" style="1" customWidth="1"/>
    <col min="6406" max="6406" width="10.28515625" style="1" customWidth="1"/>
    <col min="6407" max="6411" width="8.28515625" style="1" customWidth="1"/>
    <col min="6412" max="6412" width="10.28515625" style="1" customWidth="1"/>
    <col min="6413" max="6413" width="8.28515625" style="1" customWidth="1"/>
    <col min="6414" max="6414" width="18.28515625" style="1" customWidth="1"/>
    <col min="6415" max="6415" width="6" style="1" customWidth="1"/>
    <col min="6416" max="6417" width="5.42578125" style="1" customWidth="1"/>
    <col min="6418" max="6418" width="5.5703125" style="1" customWidth="1"/>
    <col min="6419" max="6419" width="5.140625" style="1" customWidth="1"/>
    <col min="6420" max="6420" width="5.42578125" style="1" customWidth="1"/>
    <col min="6421" max="6422" width="5.140625" style="1" customWidth="1"/>
    <col min="6423" max="6423" width="5.42578125" style="1" customWidth="1"/>
    <col min="6424" max="6424" width="5.140625" style="1" customWidth="1"/>
    <col min="6425" max="6425" width="5" style="1" customWidth="1"/>
    <col min="6426" max="6426" width="5.42578125" style="1" customWidth="1"/>
    <col min="6427" max="6427" width="9.5703125" style="1" customWidth="1"/>
    <col min="6428" max="6428" width="6.85546875" style="1" customWidth="1"/>
    <col min="6429" max="6429" width="5.140625" style="1" customWidth="1"/>
    <col min="6430" max="6430" width="18.140625" style="1" customWidth="1"/>
    <col min="6431" max="6448" width="5.7109375" style="1" customWidth="1"/>
    <col min="6449" max="6449" width="7.5703125" style="1" customWidth="1"/>
    <col min="6450" max="6450" width="7.28515625" style="1" customWidth="1"/>
    <col min="6451" max="6452" width="5.7109375" style="1" customWidth="1"/>
    <col min="6453" max="6453" width="18.140625" style="1" customWidth="1"/>
    <col min="6454" max="6468" width="5.7109375" style="1" customWidth="1"/>
    <col min="6469" max="6469" width="6.42578125" style="1" customWidth="1"/>
    <col min="6470" max="6470" width="7.42578125" style="1" customWidth="1"/>
    <col min="6471" max="6483" width="5.7109375" style="1" customWidth="1"/>
    <col min="6484" max="6484" width="6.5703125" style="1" customWidth="1"/>
    <col min="6485" max="6485" width="7.5703125" style="1" customWidth="1"/>
    <col min="6486" max="6486" width="6.5703125" style="1" customWidth="1"/>
    <col min="6487" max="6487" width="18.28515625" style="1" customWidth="1"/>
    <col min="6488" max="6658" width="8.42578125" style="1"/>
    <col min="6659" max="6659" width="10.85546875" style="1" customWidth="1"/>
    <col min="6660" max="6660" width="18.5703125" style="1" customWidth="1"/>
    <col min="6661" max="6661" width="10" style="1" customWidth="1"/>
    <col min="6662" max="6662" width="10.28515625" style="1" customWidth="1"/>
    <col min="6663" max="6667" width="8.28515625" style="1" customWidth="1"/>
    <col min="6668" max="6668" width="10.28515625" style="1" customWidth="1"/>
    <col min="6669" max="6669" width="8.28515625" style="1" customWidth="1"/>
    <col min="6670" max="6670" width="18.28515625" style="1" customWidth="1"/>
    <col min="6671" max="6671" width="6" style="1" customWidth="1"/>
    <col min="6672" max="6673" width="5.42578125" style="1" customWidth="1"/>
    <col min="6674" max="6674" width="5.5703125" style="1" customWidth="1"/>
    <col min="6675" max="6675" width="5.140625" style="1" customWidth="1"/>
    <col min="6676" max="6676" width="5.42578125" style="1" customWidth="1"/>
    <col min="6677" max="6678" width="5.140625" style="1" customWidth="1"/>
    <col min="6679" max="6679" width="5.42578125" style="1" customWidth="1"/>
    <col min="6680" max="6680" width="5.140625" style="1" customWidth="1"/>
    <col min="6681" max="6681" width="5" style="1" customWidth="1"/>
    <col min="6682" max="6682" width="5.42578125" style="1" customWidth="1"/>
    <col min="6683" max="6683" width="9.5703125" style="1" customWidth="1"/>
    <col min="6684" max="6684" width="6.85546875" style="1" customWidth="1"/>
    <col min="6685" max="6685" width="5.140625" style="1" customWidth="1"/>
    <col min="6686" max="6686" width="18.140625" style="1" customWidth="1"/>
    <col min="6687" max="6704" width="5.7109375" style="1" customWidth="1"/>
    <col min="6705" max="6705" width="7.5703125" style="1" customWidth="1"/>
    <col min="6706" max="6706" width="7.28515625" style="1" customWidth="1"/>
    <col min="6707" max="6708" width="5.7109375" style="1" customWidth="1"/>
    <col min="6709" max="6709" width="18.140625" style="1" customWidth="1"/>
    <col min="6710" max="6724" width="5.7109375" style="1" customWidth="1"/>
    <col min="6725" max="6725" width="6.42578125" style="1" customWidth="1"/>
    <col min="6726" max="6726" width="7.42578125" style="1" customWidth="1"/>
    <col min="6727" max="6739" width="5.7109375" style="1" customWidth="1"/>
    <col min="6740" max="6740" width="6.5703125" style="1" customWidth="1"/>
    <col min="6741" max="6741" width="7.5703125" style="1" customWidth="1"/>
    <col min="6742" max="6742" width="6.5703125" style="1" customWidth="1"/>
    <col min="6743" max="6743" width="18.28515625" style="1" customWidth="1"/>
    <col min="6744" max="6914" width="8.42578125" style="1"/>
    <col min="6915" max="6915" width="10.85546875" style="1" customWidth="1"/>
    <col min="6916" max="6916" width="18.5703125" style="1" customWidth="1"/>
    <col min="6917" max="6917" width="10" style="1" customWidth="1"/>
    <col min="6918" max="6918" width="10.28515625" style="1" customWidth="1"/>
    <col min="6919" max="6923" width="8.28515625" style="1" customWidth="1"/>
    <col min="6924" max="6924" width="10.28515625" style="1" customWidth="1"/>
    <col min="6925" max="6925" width="8.28515625" style="1" customWidth="1"/>
    <col min="6926" max="6926" width="18.28515625" style="1" customWidth="1"/>
    <col min="6927" max="6927" width="6" style="1" customWidth="1"/>
    <col min="6928" max="6929" width="5.42578125" style="1" customWidth="1"/>
    <col min="6930" max="6930" width="5.5703125" style="1" customWidth="1"/>
    <col min="6931" max="6931" width="5.140625" style="1" customWidth="1"/>
    <col min="6932" max="6932" width="5.42578125" style="1" customWidth="1"/>
    <col min="6933" max="6934" width="5.140625" style="1" customWidth="1"/>
    <col min="6935" max="6935" width="5.42578125" style="1" customWidth="1"/>
    <col min="6936" max="6936" width="5.140625" style="1" customWidth="1"/>
    <col min="6937" max="6937" width="5" style="1" customWidth="1"/>
    <col min="6938" max="6938" width="5.42578125" style="1" customWidth="1"/>
    <col min="6939" max="6939" width="9.5703125" style="1" customWidth="1"/>
    <col min="6940" max="6940" width="6.85546875" style="1" customWidth="1"/>
    <col min="6941" max="6941" width="5.140625" style="1" customWidth="1"/>
    <col min="6942" max="6942" width="18.140625" style="1" customWidth="1"/>
    <col min="6943" max="6960" width="5.7109375" style="1" customWidth="1"/>
    <col min="6961" max="6961" width="7.5703125" style="1" customWidth="1"/>
    <col min="6962" max="6962" width="7.28515625" style="1" customWidth="1"/>
    <col min="6963" max="6964" width="5.7109375" style="1" customWidth="1"/>
    <col min="6965" max="6965" width="18.140625" style="1" customWidth="1"/>
    <col min="6966" max="6980" width="5.7109375" style="1" customWidth="1"/>
    <col min="6981" max="6981" width="6.42578125" style="1" customWidth="1"/>
    <col min="6982" max="6982" width="7.42578125" style="1" customWidth="1"/>
    <col min="6983" max="6995" width="5.7109375" style="1" customWidth="1"/>
    <col min="6996" max="6996" width="6.5703125" style="1" customWidth="1"/>
    <col min="6997" max="6997" width="7.5703125" style="1" customWidth="1"/>
    <col min="6998" max="6998" width="6.5703125" style="1" customWidth="1"/>
    <col min="6999" max="6999" width="18.28515625" style="1" customWidth="1"/>
    <col min="7000" max="7170" width="8.42578125" style="1"/>
    <col min="7171" max="7171" width="10.85546875" style="1" customWidth="1"/>
    <col min="7172" max="7172" width="18.5703125" style="1" customWidth="1"/>
    <col min="7173" max="7173" width="10" style="1" customWidth="1"/>
    <col min="7174" max="7174" width="10.28515625" style="1" customWidth="1"/>
    <col min="7175" max="7179" width="8.28515625" style="1" customWidth="1"/>
    <col min="7180" max="7180" width="10.28515625" style="1" customWidth="1"/>
    <col min="7181" max="7181" width="8.28515625" style="1" customWidth="1"/>
    <col min="7182" max="7182" width="18.28515625" style="1" customWidth="1"/>
    <col min="7183" max="7183" width="6" style="1" customWidth="1"/>
    <col min="7184" max="7185" width="5.42578125" style="1" customWidth="1"/>
    <col min="7186" max="7186" width="5.5703125" style="1" customWidth="1"/>
    <col min="7187" max="7187" width="5.140625" style="1" customWidth="1"/>
    <col min="7188" max="7188" width="5.42578125" style="1" customWidth="1"/>
    <col min="7189" max="7190" width="5.140625" style="1" customWidth="1"/>
    <col min="7191" max="7191" width="5.42578125" style="1" customWidth="1"/>
    <col min="7192" max="7192" width="5.140625" style="1" customWidth="1"/>
    <col min="7193" max="7193" width="5" style="1" customWidth="1"/>
    <col min="7194" max="7194" width="5.42578125" style="1" customWidth="1"/>
    <col min="7195" max="7195" width="9.5703125" style="1" customWidth="1"/>
    <col min="7196" max="7196" width="6.85546875" style="1" customWidth="1"/>
    <col min="7197" max="7197" width="5.140625" style="1" customWidth="1"/>
    <col min="7198" max="7198" width="18.140625" style="1" customWidth="1"/>
    <col min="7199" max="7216" width="5.7109375" style="1" customWidth="1"/>
    <col min="7217" max="7217" width="7.5703125" style="1" customWidth="1"/>
    <col min="7218" max="7218" width="7.28515625" style="1" customWidth="1"/>
    <col min="7219" max="7220" width="5.7109375" style="1" customWidth="1"/>
    <col min="7221" max="7221" width="18.140625" style="1" customWidth="1"/>
    <col min="7222" max="7236" width="5.7109375" style="1" customWidth="1"/>
    <col min="7237" max="7237" width="6.42578125" style="1" customWidth="1"/>
    <col min="7238" max="7238" width="7.42578125" style="1" customWidth="1"/>
    <col min="7239" max="7251" width="5.7109375" style="1" customWidth="1"/>
    <col min="7252" max="7252" width="6.5703125" style="1" customWidth="1"/>
    <col min="7253" max="7253" width="7.5703125" style="1" customWidth="1"/>
    <col min="7254" max="7254" width="6.5703125" style="1" customWidth="1"/>
    <col min="7255" max="7255" width="18.28515625" style="1" customWidth="1"/>
    <col min="7256" max="7426" width="8.42578125" style="1"/>
    <col min="7427" max="7427" width="10.85546875" style="1" customWidth="1"/>
    <col min="7428" max="7428" width="18.5703125" style="1" customWidth="1"/>
    <col min="7429" max="7429" width="10" style="1" customWidth="1"/>
    <col min="7430" max="7430" width="10.28515625" style="1" customWidth="1"/>
    <col min="7431" max="7435" width="8.28515625" style="1" customWidth="1"/>
    <col min="7436" max="7436" width="10.28515625" style="1" customWidth="1"/>
    <col min="7437" max="7437" width="8.28515625" style="1" customWidth="1"/>
    <col min="7438" max="7438" width="18.28515625" style="1" customWidth="1"/>
    <col min="7439" max="7439" width="6" style="1" customWidth="1"/>
    <col min="7440" max="7441" width="5.42578125" style="1" customWidth="1"/>
    <col min="7442" max="7442" width="5.5703125" style="1" customWidth="1"/>
    <col min="7443" max="7443" width="5.140625" style="1" customWidth="1"/>
    <col min="7444" max="7444" width="5.42578125" style="1" customWidth="1"/>
    <col min="7445" max="7446" width="5.140625" style="1" customWidth="1"/>
    <col min="7447" max="7447" width="5.42578125" style="1" customWidth="1"/>
    <col min="7448" max="7448" width="5.140625" style="1" customWidth="1"/>
    <col min="7449" max="7449" width="5" style="1" customWidth="1"/>
    <col min="7450" max="7450" width="5.42578125" style="1" customWidth="1"/>
    <col min="7451" max="7451" width="9.5703125" style="1" customWidth="1"/>
    <col min="7452" max="7452" width="6.85546875" style="1" customWidth="1"/>
    <col min="7453" max="7453" width="5.140625" style="1" customWidth="1"/>
    <col min="7454" max="7454" width="18.140625" style="1" customWidth="1"/>
    <col min="7455" max="7472" width="5.7109375" style="1" customWidth="1"/>
    <col min="7473" max="7473" width="7.5703125" style="1" customWidth="1"/>
    <col min="7474" max="7474" width="7.28515625" style="1" customWidth="1"/>
    <col min="7475" max="7476" width="5.7109375" style="1" customWidth="1"/>
    <col min="7477" max="7477" width="18.140625" style="1" customWidth="1"/>
    <col min="7478" max="7492" width="5.7109375" style="1" customWidth="1"/>
    <col min="7493" max="7493" width="6.42578125" style="1" customWidth="1"/>
    <col min="7494" max="7494" width="7.42578125" style="1" customWidth="1"/>
    <col min="7495" max="7507" width="5.7109375" style="1" customWidth="1"/>
    <col min="7508" max="7508" width="6.5703125" style="1" customWidth="1"/>
    <col min="7509" max="7509" width="7.5703125" style="1" customWidth="1"/>
    <col min="7510" max="7510" width="6.5703125" style="1" customWidth="1"/>
    <col min="7511" max="7511" width="18.28515625" style="1" customWidth="1"/>
    <col min="7512" max="7682" width="8.42578125" style="1"/>
    <col min="7683" max="7683" width="10.85546875" style="1" customWidth="1"/>
    <col min="7684" max="7684" width="18.5703125" style="1" customWidth="1"/>
    <col min="7685" max="7685" width="10" style="1" customWidth="1"/>
    <col min="7686" max="7686" width="10.28515625" style="1" customWidth="1"/>
    <col min="7687" max="7691" width="8.28515625" style="1" customWidth="1"/>
    <col min="7692" max="7692" width="10.28515625" style="1" customWidth="1"/>
    <col min="7693" max="7693" width="8.28515625" style="1" customWidth="1"/>
    <col min="7694" max="7694" width="18.28515625" style="1" customWidth="1"/>
    <col min="7695" max="7695" width="6" style="1" customWidth="1"/>
    <col min="7696" max="7697" width="5.42578125" style="1" customWidth="1"/>
    <col min="7698" max="7698" width="5.5703125" style="1" customWidth="1"/>
    <col min="7699" max="7699" width="5.140625" style="1" customWidth="1"/>
    <col min="7700" max="7700" width="5.42578125" style="1" customWidth="1"/>
    <col min="7701" max="7702" width="5.140625" style="1" customWidth="1"/>
    <col min="7703" max="7703" width="5.42578125" style="1" customWidth="1"/>
    <col min="7704" max="7704" width="5.140625" style="1" customWidth="1"/>
    <col min="7705" max="7705" width="5" style="1" customWidth="1"/>
    <col min="7706" max="7706" width="5.42578125" style="1" customWidth="1"/>
    <col min="7707" max="7707" width="9.5703125" style="1" customWidth="1"/>
    <col min="7708" max="7708" width="6.85546875" style="1" customWidth="1"/>
    <col min="7709" max="7709" width="5.140625" style="1" customWidth="1"/>
    <col min="7710" max="7710" width="18.140625" style="1" customWidth="1"/>
    <col min="7711" max="7728" width="5.7109375" style="1" customWidth="1"/>
    <col min="7729" max="7729" width="7.5703125" style="1" customWidth="1"/>
    <col min="7730" max="7730" width="7.28515625" style="1" customWidth="1"/>
    <col min="7731" max="7732" width="5.7109375" style="1" customWidth="1"/>
    <col min="7733" max="7733" width="18.140625" style="1" customWidth="1"/>
    <col min="7734" max="7748" width="5.7109375" style="1" customWidth="1"/>
    <col min="7749" max="7749" width="6.42578125" style="1" customWidth="1"/>
    <col min="7750" max="7750" width="7.42578125" style="1" customWidth="1"/>
    <col min="7751" max="7763" width="5.7109375" style="1" customWidth="1"/>
    <col min="7764" max="7764" width="6.5703125" style="1" customWidth="1"/>
    <col min="7765" max="7765" width="7.5703125" style="1" customWidth="1"/>
    <col min="7766" max="7766" width="6.5703125" style="1" customWidth="1"/>
    <col min="7767" max="7767" width="18.28515625" style="1" customWidth="1"/>
    <col min="7768" max="7938" width="8.42578125" style="1"/>
    <col min="7939" max="7939" width="10.85546875" style="1" customWidth="1"/>
    <col min="7940" max="7940" width="18.5703125" style="1" customWidth="1"/>
    <col min="7941" max="7941" width="10" style="1" customWidth="1"/>
    <col min="7942" max="7942" width="10.28515625" style="1" customWidth="1"/>
    <col min="7943" max="7947" width="8.28515625" style="1" customWidth="1"/>
    <col min="7948" max="7948" width="10.28515625" style="1" customWidth="1"/>
    <col min="7949" max="7949" width="8.28515625" style="1" customWidth="1"/>
    <col min="7950" max="7950" width="18.28515625" style="1" customWidth="1"/>
    <col min="7951" max="7951" width="6" style="1" customWidth="1"/>
    <col min="7952" max="7953" width="5.42578125" style="1" customWidth="1"/>
    <col min="7954" max="7954" width="5.5703125" style="1" customWidth="1"/>
    <col min="7955" max="7955" width="5.140625" style="1" customWidth="1"/>
    <col min="7956" max="7956" width="5.42578125" style="1" customWidth="1"/>
    <col min="7957" max="7958" width="5.140625" style="1" customWidth="1"/>
    <col min="7959" max="7959" width="5.42578125" style="1" customWidth="1"/>
    <col min="7960" max="7960" width="5.140625" style="1" customWidth="1"/>
    <col min="7961" max="7961" width="5" style="1" customWidth="1"/>
    <col min="7962" max="7962" width="5.42578125" style="1" customWidth="1"/>
    <col min="7963" max="7963" width="9.5703125" style="1" customWidth="1"/>
    <col min="7964" max="7964" width="6.85546875" style="1" customWidth="1"/>
    <col min="7965" max="7965" width="5.140625" style="1" customWidth="1"/>
    <col min="7966" max="7966" width="18.140625" style="1" customWidth="1"/>
    <col min="7967" max="7984" width="5.7109375" style="1" customWidth="1"/>
    <col min="7985" max="7985" width="7.5703125" style="1" customWidth="1"/>
    <col min="7986" max="7986" width="7.28515625" style="1" customWidth="1"/>
    <col min="7987" max="7988" width="5.7109375" style="1" customWidth="1"/>
    <col min="7989" max="7989" width="18.140625" style="1" customWidth="1"/>
    <col min="7990" max="8004" width="5.7109375" style="1" customWidth="1"/>
    <col min="8005" max="8005" width="6.42578125" style="1" customWidth="1"/>
    <col min="8006" max="8006" width="7.42578125" style="1" customWidth="1"/>
    <col min="8007" max="8019" width="5.7109375" style="1" customWidth="1"/>
    <col min="8020" max="8020" width="6.5703125" style="1" customWidth="1"/>
    <col min="8021" max="8021" width="7.5703125" style="1" customWidth="1"/>
    <col min="8022" max="8022" width="6.5703125" style="1" customWidth="1"/>
    <col min="8023" max="8023" width="18.28515625" style="1" customWidth="1"/>
    <col min="8024" max="8194" width="8.42578125" style="1"/>
    <col min="8195" max="8195" width="10.85546875" style="1" customWidth="1"/>
    <col min="8196" max="8196" width="18.5703125" style="1" customWidth="1"/>
    <col min="8197" max="8197" width="10" style="1" customWidth="1"/>
    <col min="8198" max="8198" width="10.28515625" style="1" customWidth="1"/>
    <col min="8199" max="8203" width="8.28515625" style="1" customWidth="1"/>
    <col min="8204" max="8204" width="10.28515625" style="1" customWidth="1"/>
    <col min="8205" max="8205" width="8.28515625" style="1" customWidth="1"/>
    <col min="8206" max="8206" width="18.28515625" style="1" customWidth="1"/>
    <col min="8207" max="8207" width="6" style="1" customWidth="1"/>
    <col min="8208" max="8209" width="5.42578125" style="1" customWidth="1"/>
    <col min="8210" max="8210" width="5.5703125" style="1" customWidth="1"/>
    <col min="8211" max="8211" width="5.140625" style="1" customWidth="1"/>
    <col min="8212" max="8212" width="5.42578125" style="1" customWidth="1"/>
    <col min="8213" max="8214" width="5.140625" style="1" customWidth="1"/>
    <col min="8215" max="8215" width="5.42578125" style="1" customWidth="1"/>
    <col min="8216" max="8216" width="5.140625" style="1" customWidth="1"/>
    <col min="8217" max="8217" width="5" style="1" customWidth="1"/>
    <col min="8218" max="8218" width="5.42578125" style="1" customWidth="1"/>
    <col min="8219" max="8219" width="9.5703125" style="1" customWidth="1"/>
    <col min="8220" max="8220" width="6.85546875" style="1" customWidth="1"/>
    <col min="8221" max="8221" width="5.140625" style="1" customWidth="1"/>
    <col min="8222" max="8222" width="18.140625" style="1" customWidth="1"/>
    <col min="8223" max="8240" width="5.7109375" style="1" customWidth="1"/>
    <col min="8241" max="8241" width="7.5703125" style="1" customWidth="1"/>
    <col min="8242" max="8242" width="7.28515625" style="1" customWidth="1"/>
    <col min="8243" max="8244" width="5.7109375" style="1" customWidth="1"/>
    <col min="8245" max="8245" width="18.140625" style="1" customWidth="1"/>
    <col min="8246" max="8260" width="5.7109375" style="1" customWidth="1"/>
    <col min="8261" max="8261" width="6.42578125" style="1" customWidth="1"/>
    <col min="8262" max="8262" width="7.42578125" style="1" customWidth="1"/>
    <col min="8263" max="8275" width="5.7109375" style="1" customWidth="1"/>
    <col min="8276" max="8276" width="6.5703125" style="1" customWidth="1"/>
    <col min="8277" max="8277" width="7.5703125" style="1" customWidth="1"/>
    <col min="8278" max="8278" width="6.5703125" style="1" customWidth="1"/>
    <col min="8279" max="8279" width="18.28515625" style="1" customWidth="1"/>
    <col min="8280" max="8450" width="8.42578125" style="1"/>
    <col min="8451" max="8451" width="10.85546875" style="1" customWidth="1"/>
    <col min="8452" max="8452" width="18.5703125" style="1" customWidth="1"/>
    <col min="8453" max="8453" width="10" style="1" customWidth="1"/>
    <col min="8454" max="8454" width="10.28515625" style="1" customWidth="1"/>
    <col min="8455" max="8459" width="8.28515625" style="1" customWidth="1"/>
    <col min="8460" max="8460" width="10.28515625" style="1" customWidth="1"/>
    <col min="8461" max="8461" width="8.28515625" style="1" customWidth="1"/>
    <col min="8462" max="8462" width="18.28515625" style="1" customWidth="1"/>
    <col min="8463" max="8463" width="6" style="1" customWidth="1"/>
    <col min="8464" max="8465" width="5.42578125" style="1" customWidth="1"/>
    <col min="8466" max="8466" width="5.5703125" style="1" customWidth="1"/>
    <col min="8467" max="8467" width="5.140625" style="1" customWidth="1"/>
    <col min="8468" max="8468" width="5.42578125" style="1" customWidth="1"/>
    <col min="8469" max="8470" width="5.140625" style="1" customWidth="1"/>
    <col min="8471" max="8471" width="5.42578125" style="1" customWidth="1"/>
    <col min="8472" max="8472" width="5.140625" style="1" customWidth="1"/>
    <col min="8473" max="8473" width="5" style="1" customWidth="1"/>
    <col min="8474" max="8474" width="5.42578125" style="1" customWidth="1"/>
    <col min="8475" max="8475" width="9.5703125" style="1" customWidth="1"/>
    <col min="8476" max="8476" width="6.85546875" style="1" customWidth="1"/>
    <col min="8477" max="8477" width="5.140625" style="1" customWidth="1"/>
    <col min="8478" max="8478" width="18.140625" style="1" customWidth="1"/>
    <col min="8479" max="8496" width="5.7109375" style="1" customWidth="1"/>
    <col min="8497" max="8497" width="7.5703125" style="1" customWidth="1"/>
    <col min="8498" max="8498" width="7.28515625" style="1" customWidth="1"/>
    <col min="8499" max="8500" width="5.7109375" style="1" customWidth="1"/>
    <col min="8501" max="8501" width="18.140625" style="1" customWidth="1"/>
    <col min="8502" max="8516" width="5.7109375" style="1" customWidth="1"/>
    <col min="8517" max="8517" width="6.42578125" style="1" customWidth="1"/>
    <col min="8518" max="8518" width="7.42578125" style="1" customWidth="1"/>
    <col min="8519" max="8531" width="5.7109375" style="1" customWidth="1"/>
    <col min="8532" max="8532" width="6.5703125" style="1" customWidth="1"/>
    <col min="8533" max="8533" width="7.5703125" style="1" customWidth="1"/>
    <col min="8534" max="8534" width="6.5703125" style="1" customWidth="1"/>
    <col min="8535" max="8535" width="18.28515625" style="1" customWidth="1"/>
    <col min="8536" max="8706" width="8.42578125" style="1"/>
    <col min="8707" max="8707" width="10.85546875" style="1" customWidth="1"/>
    <col min="8708" max="8708" width="18.5703125" style="1" customWidth="1"/>
    <col min="8709" max="8709" width="10" style="1" customWidth="1"/>
    <col min="8710" max="8710" width="10.28515625" style="1" customWidth="1"/>
    <col min="8711" max="8715" width="8.28515625" style="1" customWidth="1"/>
    <col min="8716" max="8716" width="10.28515625" style="1" customWidth="1"/>
    <col min="8717" max="8717" width="8.28515625" style="1" customWidth="1"/>
    <col min="8718" max="8718" width="18.28515625" style="1" customWidth="1"/>
    <col min="8719" max="8719" width="6" style="1" customWidth="1"/>
    <col min="8720" max="8721" width="5.42578125" style="1" customWidth="1"/>
    <col min="8722" max="8722" width="5.5703125" style="1" customWidth="1"/>
    <col min="8723" max="8723" width="5.140625" style="1" customWidth="1"/>
    <col min="8724" max="8724" width="5.42578125" style="1" customWidth="1"/>
    <col min="8725" max="8726" width="5.140625" style="1" customWidth="1"/>
    <col min="8727" max="8727" width="5.42578125" style="1" customWidth="1"/>
    <col min="8728" max="8728" width="5.140625" style="1" customWidth="1"/>
    <col min="8729" max="8729" width="5" style="1" customWidth="1"/>
    <col min="8730" max="8730" width="5.42578125" style="1" customWidth="1"/>
    <col min="8731" max="8731" width="9.5703125" style="1" customWidth="1"/>
    <col min="8732" max="8732" width="6.85546875" style="1" customWidth="1"/>
    <col min="8733" max="8733" width="5.140625" style="1" customWidth="1"/>
    <col min="8734" max="8734" width="18.140625" style="1" customWidth="1"/>
    <col min="8735" max="8752" width="5.7109375" style="1" customWidth="1"/>
    <col min="8753" max="8753" width="7.5703125" style="1" customWidth="1"/>
    <col min="8754" max="8754" width="7.28515625" style="1" customWidth="1"/>
    <col min="8755" max="8756" width="5.7109375" style="1" customWidth="1"/>
    <col min="8757" max="8757" width="18.140625" style="1" customWidth="1"/>
    <col min="8758" max="8772" width="5.7109375" style="1" customWidth="1"/>
    <col min="8773" max="8773" width="6.42578125" style="1" customWidth="1"/>
    <col min="8774" max="8774" width="7.42578125" style="1" customWidth="1"/>
    <col min="8775" max="8787" width="5.7109375" style="1" customWidth="1"/>
    <col min="8788" max="8788" width="6.5703125" style="1" customWidth="1"/>
    <col min="8789" max="8789" width="7.5703125" style="1" customWidth="1"/>
    <col min="8790" max="8790" width="6.5703125" style="1" customWidth="1"/>
    <col min="8791" max="8791" width="18.28515625" style="1" customWidth="1"/>
    <col min="8792" max="8962" width="8.42578125" style="1"/>
    <col min="8963" max="8963" width="10.85546875" style="1" customWidth="1"/>
    <col min="8964" max="8964" width="18.5703125" style="1" customWidth="1"/>
    <col min="8965" max="8965" width="10" style="1" customWidth="1"/>
    <col min="8966" max="8966" width="10.28515625" style="1" customWidth="1"/>
    <col min="8967" max="8971" width="8.28515625" style="1" customWidth="1"/>
    <col min="8972" max="8972" width="10.28515625" style="1" customWidth="1"/>
    <col min="8973" max="8973" width="8.28515625" style="1" customWidth="1"/>
    <col min="8974" max="8974" width="18.28515625" style="1" customWidth="1"/>
    <col min="8975" max="8975" width="6" style="1" customWidth="1"/>
    <col min="8976" max="8977" width="5.42578125" style="1" customWidth="1"/>
    <col min="8978" max="8978" width="5.5703125" style="1" customWidth="1"/>
    <col min="8979" max="8979" width="5.140625" style="1" customWidth="1"/>
    <col min="8980" max="8980" width="5.42578125" style="1" customWidth="1"/>
    <col min="8981" max="8982" width="5.140625" style="1" customWidth="1"/>
    <col min="8983" max="8983" width="5.42578125" style="1" customWidth="1"/>
    <col min="8984" max="8984" width="5.140625" style="1" customWidth="1"/>
    <col min="8985" max="8985" width="5" style="1" customWidth="1"/>
    <col min="8986" max="8986" width="5.42578125" style="1" customWidth="1"/>
    <col min="8987" max="8987" width="9.5703125" style="1" customWidth="1"/>
    <col min="8988" max="8988" width="6.85546875" style="1" customWidth="1"/>
    <col min="8989" max="8989" width="5.140625" style="1" customWidth="1"/>
    <col min="8990" max="8990" width="18.140625" style="1" customWidth="1"/>
    <col min="8991" max="9008" width="5.7109375" style="1" customWidth="1"/>
    <col min="9009" max="9009" width="7.5703125" style="1" customWidth="1"/>
    <col min="9010" max="9010" width="7.28515625" style="1" customWidth="1"/>
    <col min="9011" max="9012" width="5.7109375" style="1" customWidth="1"/>
    <col min="9013" max="9013" width="18.140625" style="1" customWidth="1"/>
    <col min="9014" max="9028" width="5.7109375" style="1" customWidth="1"/>
    <col min="9029" max="9029" width="6.42578125" style="1" customWidth="1"/>
    <col min="9030" max="9030" width="7.42578125" style="1" customWidth="1"/>
    <col min="9031" max="9043" width="5.7109375" style="1" customWidth="1"/>
    <col min="9044" max="9044" width="6.5703125" style="1" customWidth="1"/>
    <col min="9045" max="9045" width="7.5703125" style="1" customWidth="1"/>
    <col min="9046" max="9046" width="6.5703125" style="1" customWidth="1"/>
    <col min="9047" max="9047" width="18.28515625" style="1" customWidth="1"/>
    <col min="9048" max="9218" width="8.42578125" style="1"/>
    <col min="9219" max="9219" width="10.85546875" style="1" customWidth="1"/>
    <col min="9220" max="9220" width="18.5703125" style="1" customWidth="1"/>
    <col min="9221" max="9221" width="10" style="1" customWidth="1"/>
    <col min="9222" max="9222" width="10.28515625" style="1" customWidth="1"/>
    <col min="9223" max="9227" width="8.28515625" style="1" customWidth="1"/>
    <col min="9228" max="9228" width="10.28515625" style="1" customWidth="1"/>
    <col min="9229" max="9229" width="8.28515625" style="1" customWidth="1"/>
    <col min="9230" max="9230" width="18.28515625" style="1" customWidth="1"/>
    <col min="9231" max="9231" width="6" style="1" customWidth="1"/>
    <col min="9232" max="9233" width="5.42578125" style="1" customWidth="1"/>
    <col min="9234" max="9234" width="5.5703125" style="1" customWidth="1"/>
    <col min="9235" max="9235" width="5.140625" style="1" customWidth="1"/>
    <col min="9236" max="9236" width="5.42578125" style="1" customWidth="1"/>
    <col min="9237" max="9238" width="5.140625" style="1" customWidth="1"/>
    <col min="9239" max="9239" width="5.42578125" style="1" customWidth="1"/>
    <col min="9240" max="9240" width="5.140625" style="1" customWidth="1"/>
    <col min="9241" max="9241" width="5" style="1" customWidth="1"/>
    <col min="9242" max="9242" width="5.42578125" style="1" customWidth="1"/>
    <col min="9243" max="9243" width="9.5703125" style="1" customWidth="1"/>
    <col min="9244" max="9244" width="6.85546875" style="1" customWidth="1"/>
    <col min="9245" max="9245" width="5.140625" style="1" customWidth="1"/>
    <col min="9246" max="9246" width="18.140625" style="1" customWidth="1"/>
    <col min="9247" max="9264" width="5.7109375" style="1" customWidth="1"/>
    <col min="9265" max="9265" width="7.5703125" style="1" customWidth="1"/>
    <col min="9266" max="9266" width="7.28515625" style="1" customWidth="1"/>
    <col min="9267" max="9268" width="5.7109375" style="1" customWidth="1"/>
    <col min="9269" max="9269" width="18.140625" style="1" customWidth="1"/>
    <col min="9270" max="9284" width="5.7109375" style="1" customWidth="1"/>
    <col min="9285" max="9285" width="6.42578125" style="1" customWidth="1"/>
    <col min="9286" max="9286" width="7.42578125" style="1" customWidth="1"/>
    <col min="9287" max="9299" width="5.7109375" style="1" customWidth="1"/>
    <col min="9300" max="9300" width="6.5703125" style="1" customWidth="1"/>
    <col min="9301" max="9301" width="7.5703125" style="1" customWidth="1"/>
    <col min="9302" max="9302" width="6.5703125" style="1" customWidth="1"/>
    <col min="9303" max="9303" width="18.28515625" style="1" customWidth="1"/>
    <col min="9304" max="9474" width="8.42578125" style="1"/>
    <col min="9475" max="9475" width="10.85546875" style="1" customWidth="1"/>
    <col min="9476" max="9476" width="18.5703125" style="1" customWidth="1"/>
    <col min="9477" max="9477" width="10" style="1" customWidth="1"/>
    <col min="9478" max="9478" width="10.28515625" style="1" customWidth="1"/>
    <col min="9479" max="9483" width="8.28515625" style="1" customWidth="1"/>
    <col min="9484" max="9484" width="10.28515625" style="1" customWidth="1"/>
    <col min="9485" max="9485" width="8.28515625" style="1" customWidth="1"/>
    <col min="9486" max="9486" width="18.28515625" style="1" customWidth="1"/>
    <col min="9487" max="9487" width="6" style="1" customWidth="1"/>
    <col min="9488" max="9489" width="5.42578125" style="1" customWidth="1"/>
    <col min="9490" max="9490" width="5.5703125" style="1" customWidth="1"/>
    <col min="9491" max="9491" width="5.140625" style="1" customWidth="1"/>
    <col min="9492" max="9492" width="5.42578125" style="1" customWidth="1"/>
    <col min="9493" max="9494" width="5.140625" style="1" customWidth="1"/>
    <col min="9495" max="9495" width="5.42578125" style="1" customWidth="1"/>
    <col min="9496" max="9496" width="5.140625" style="1" customWidth="1"/>
    <col min="9497" max="9497" width="5" style="1" customWidth="1"/>
    <col min="9498" max="9498" width="5.42578125" style="1" customWidth="1"/>
    <col min="9499" max="9499" width="9.5703125" style="1" customWidth="1"/>
    <col min="9500" max="9500" width="6.85546875" style="1" customWidth="1"/>
    <col min="9501" max="9501" width="5.140625" style="1" customWidth="1"/>
    <col min="9502" max="9502" width="18.140625" style="1" customWidth="1"/>
    <col min="9503" max="9520" width="5.7109375" style="1" customWidth="1"/>
    <col min="9521" max="9521" width="7.5703125" style="1" customWidth="1"/>
    <col min="9522" max="9522" width="7.28515625" style="1" customWidth="1"/>
    <col min="9523" max="9524" width="5.7109375" style="1" customWidth="1"/>
    <col min="9525" max="9525" width="18.140625" style="1" customWidth="1"/>
    <col min="9526" max="9540" width="5.7109375" style="1" customWidth="1"/>
    <col min="9541" max="9541" width="6.42578125" style="1" customWidth="1"/>
    <col min="9542" max="9542" width="7.42578125" style="1" customWidth="1"/>
    <col min="9543" max="9555" width="5.7109375" style="1" customWidth="1"/>
    <col min="9556" max="9556" width="6.5703125" style="1" customWidth="1"/>
    <col min="9557" max="9557" width="7.5703125" style="1" customWidth="1"/>
    <col min="9558" max="9558" width="6.5703125" style="1" customWidth="1"/>
    <col min="9559" max="9559" width="18.28515625" style="1" customWidth="1"/>
    <col min="9560" max="9730" width="8.42578125" style="1"/>
    <col min="9731" max="9731" width="10.85546875" style="1" customWidth="1"/>
    <col min="9732" max="9732" width="18.5703125" style="1" customWidth="1"/>
    <col min="9733" max="9733" width="10" style="1" customWidth="1"/>
    <col min="9734" max="9734" width="10.28515625" style="1" customWidth="1"/>
    <col min="9735" max="9739" width="8.28515625" style="1" customWidth="1"/>
    <col min="9740" max="9740" width="10.28515625" style="1" customWidth="1"/>
    <col min="9741" max="9741" width="8.28515625" style="1" customWidth="1"/>
    <col min="9742" max="9742" width="18.28515625" style="1" customWidth="1"/>
    <col min="9743" max="9743" width="6" style="1" customWidth="1"/>
    <col min="9744" max="9745" width="5.42578125" style="1" customWidth="1"/>
    <col min="9746" max="9746" width="5.5703125" style="1" customWidth="1"/>
    <col min="9747" max="9747" width="5.140625" style="1" customWidth="1"/>
    <col min="9748" max="9748" width="5.42578125" style="1" customWidth="1"/>
    <col min="9749" max="9750" width="5.140625" style="1" customWidth="1"/>
    <col min="9751" max="9751" width="5.42578125" style="1" customWidth="1"/>
    <col min="9752" max="9752" width="5.140625" style="1" customWidth="1"/>
    <col min="9753" max="9753" width="5" style="1" customWidth="1"/>
    <col min="9754" max="9754" width="5.42578125" style="1" customWidth="1"/>
    <col min="9755" max="9755" width="9.5703125" style="1" customWidth="1"/>
    <col min="9756" max="9756" width="6.85546875" style="1" customWidth="1"/>
    <col min="9757" max="9757" width="5.140625" style="1" customWidth="1"/>
    <col min="9758" max="9758" width="18.140625" style="1" customWidth="1"/>
    <col min="9759" max="9776" width="5.7109375" style="1" customWidth="1"/>
    <col min="9777" max="9777" width="7.5703125" style="1" customWidth="1"/>
    <col min="9778" max="9778" width="7.28515625" style="1" customWidth="1"/>
    <col min="9779" max="9780" width="5.7109375" style="1" customWidth="1"/>
    <col min="9781" max="9781" width="18.140625" style="1" customWidth="1"/>
    <col min="9782" max="9796" width="5.7109375" style="1" customWidth="1"/>
    <col min="9797" max="9797" width="6.42578125" style="1" customWidth="1"/>
    <col min="9798" max="9798" width="7.42578125" style="1" customWidth="1"/>
    <col min="9799" max="9811" width="5.7109375" style="1" customWidth="1"/>
    <col min="9812" max="9812" width="6.5703125" style="1" customWidth="1"/>
    <col min="9813" max="9813" width="7.5703125" style="1" customWidth="1"/>
    <col min="9814" max="9814" width="6.5703125" style="1" customWidth="1"/>
    <col min="9815" max="9815" width="18.28515625" style="1" customWidth="1"/>
    <col min="9816" max="9986" width="8.42578125" style="1"/>
    <col min="9987" max="9987" width="10.85546875" style="1" customWidth="1"/>
    <col min="9988" max="9988" width="18.5703125" style="1" customWidth="1"/>
    <col min="9989" max="9989" width="10" style="1" customWidth="1"/>
    <col min="9990" max="9990" width="10.28515625" style="1" customWidth="1"/>
    <col min="9991" max="9995" width="8.28515625" style="1" customWidth="1"/>
    <col min="9996" max="9996" width="10.28515625" style="1" customWidth="1"/>
    <col min="9997" max="9997" width="8.28515625" style="1" customWidth="1"/>
    <col min="9998" max="9998" width="18.28515625" style="1" customWidth="1"/>
    <col min="9999" max="9999" width="6" style="1" customWidth="1"/>
    <col min="10000" max="10001" width="5.42578125" style="1" customWidth="1"/>
    <col min="10002" max="10002" width="5.5703125" style="1" customWidth="1"/>
    <col min="10003" max="10003" width="5.140625" style="1" customWidth="1"/>
    <col min="10004" max="10004" width="5.42578125" style="1" customWidth="1"/>
    <col min="10005" max="10006" width="5.140625" style="1" customWidth="1"/>
    <col min="10007" max="10007" width="5.42578125" style="1" customWidth="1"/>
    <col min="10008" max="10008" width="5.140625" style="1" customWidth="1"/>
    <col min="10009" max="10009" width="5" style="1" customWidth="1"/>
    <col min="10010" max="10010" width="5.42578125" style="1" customWidth="1"/>
    <col min="10011" max="10011" width="9.5703125" style="1" customWidth="1"/>
    <col min="10012" max="10012" width="6.85546875" style="1" customWidth="1"/>
    <col min="10013" max="10013" width="5.140625" style="1" customWidth="1"/>
    <col min="10014" max="10014" width="18.140625" style="1" customWidth="1"/>
    <col min="10015" max="10032" width="5.7109375" style="1" customWidth="1"/>
    <col min="10033" max="10033" width="7.5703125" style="1" customWidth="1"/>
    <col min="10034" max="10034" width="7.28515625" style="1" customWidth="1"/>
    <col min="10035" max="10036" width="5.7109375" style="1" customWidth="1"/>
    <col min="10037" max="10037" width="18.140625" style="1" customWidth="1"/>
    <col min="10038" max="10052" width="5.7109375" style="1" customWidth="1"/>
    <col min="10053" max="10053" width="6.42578125" style="1" customWidth="1"/>
    <col min="10054" max="10054" width="7.42578125" style="1" customWidth="1"/>
    <col min="10055" max="10067" width="5.7109375" style="1" customWidth="1"/>
    <col min="10068" max="10068" width="6.5703125" style="1" customWidth="1"/>
    <col min="10069" max="10069" width="7.5703125" style="1" customWidth="1"/>
    <col min="10070" max="10070" width="6.5703125" style="1" customWidth="1"/>
    <col min="10071" max="10071" width="18.28515625" style="1" customWidth="1"/>
    <col min="10072" max="10242" width="8.42578125" style="1"/>
    <col min="10243" max="10243" width="10.85546875" style="1" customWidth="1"/>
    <col min="10244" max="10244" width="18.5703125" style="1" customWidth="1"/>
    <col min="10245" max="10245" width="10" style="1" customWidth="1"/>
    <col min="10246" max="10246" width="10.28515625" style="1" customWidth="1"/>
    <col min="10247" max="10251" width="8.28515625" style="1" customWidth="1"/>
    <col min="10252" max="10252" width="10.28515625" style="1" customWidth="1"/>
    <col min="10253" max="10253" width="8.28515625" style="1" customWidth="1"/>
    <col min="10254" max="10254" width="18.28515625" style="1" customWidth="1"/>
    <col min="10255" max="10255" width="6" style="1" customWidth="1"/>
    <col min="10256" max="10257" width="5.42578125" style="1" customWidth="1"/>
    <col min="10258" max="10258" width="5.5703125" style="1" customWidth="1"/>
    <col min="10259" max="10259" width="5.140625" style="1" customWidth="1"/>
    <col min="10260" max="10260" width="5.42578125" style="1" customWidth="1"/>
    <col min="10261" max="10262" width="5.140625" style="1" customWidth="1"/>
    <col min="10263" max="10263" width="5.42578125" style="1" customWidth="1"/>
    <col min="10264" max="10264" width="5.140625" style="1" customWidth="1"/>
    <col min="10265" max="10265" width="5" style="1" customWidth="1"/>
    <col min="10266" max="10266" width="5.42578125" style="1" customWidth="1"/>
    <col min="10267" max="10267" width="9.5703125" style="1" customWidth="1"/>
    <col min="10268" max="10268" width="6.85546875" style="1" customWidth="1"/>
    <col min="10269" max="10269" width="5.140625" style="1" customWidth="1"/>
    <col min="10270" max="10270" width="18.140625" style="1" customWidth="1"/>
    <col min="10271" max="10288" width="5.7109375" style="1" customWidth="1"/>
    <col min="10289" max="10289" width="7.5703125" style="1" customWidth="1"/>
    <col min="10290" max="10290" width="7.28515625" style="1" customWidth="1"/>
    <col min="10291" max="10292" width="5.7109375" style="1" customWidth="1"/>
    <col min="10293" max="10293" width="18.140625" style="1" customWidth="1"/>
    <col min="10294" max="10308" width="5.7109375" style="1" customWidth="1"/>
    <col min="10309" max="10309" width="6.42578125" style="1" customWidth="1"/>
    <col min="10310" max="10310" width="7.42578125" style="1" customWidth="1"/>
    <col min="10311" max="10323" width="5.7109375" style="1" customWidth="1"/>
    <col min="10324" max="10324" width="6.5703125" style="1" customWidth="1"/>
    <col min="10325" max="10325" width="7.5703125" style="1" customWidth="1"/>
    <col min="10326" max="10326" width="6.5703125" style="1" customWidth="1"/>
    <col min="10327" max="10327" width="18.28515625" style="1" customWidth="1"/>
    <col min="10328" max="10498" width="8.42578125" style="1"/>
    <col min="10499" max="10499" width="10.85546875" style="1" customWidth="1"/>
    <col min="10500" max="10500" width="18.5703125" style="1" customWidth="1"/>
    <col min="10501" max="10501" width="10" style="1" customWidth="1"/>
    <col min="10502" max="10502" width="10.28515625" style="1" customWidth="1"/>
    <col min="10503" max="10507" width="8.28515625" style="1" customWidth="1"/>
    <col min="10508" max="10508" width="10.28515625" style="1" customWidth="1"/>
    <col min="10509" max="10509" width="8.28515625" style="1" customWidth="1"/>
    <col min="10510" max="10510" width="18.28515625" style="1" customWidth="1"/>
    <col min="10511" max="10511" width="6" style="1" customWidth="1"/>
    <col min="10512" max="10513" width="5.42578125" style="1" customWidth="1"/>
    <col min="10514" max="10514" width="5.5703125" style="1" customWidth="1"/>
    <col min="10515" max="10515" width="5.140625" style="1" customWidth="1"/>
    <col min="10516" max="10516" width="5.42578125" style="1" customWidth="1"/>
    <col min="10517" max="10518" width="5.140625" style="1" customWidth="1"/>
    <col min="10519" max="10519" width="5.42578125" style="1" customWidth="1"/>
    <col min="10520" max="10520" width="5.140625" style="1" customWidth="1"/>
    <col min="10521" max="10521" width="5" style="1" customWidth="1"/>
    <col min="10522" max="10522" width="5.42578125" style="1" customWidth="1"/>
    <col min="10523" max="10523" width="9.5703125" style="1" customWidth="1"/>
    <col min="10524" max="10524" width="6.85546875" style="1" customWidth="1"/>
    <col min="10525" max="10525" width="5.140625" style="1" customWidth="1"/>
    <col min="10526" max="10526" width="18.140625" style="1" customWidth="1"/>
    <col min="10527" max="10544" width="5.7109375" style="1" customWidth="1"/>
    <col min="10545" max="10545" width="7.5703125" style="1" customWidth="1"/>
    <col min="10546" max="10546" width="7.28515625" style="1" customWidth="1"/>
    <col min="10547" max="10548" width="5.7109375" style="1" customWidth="1"/>
    <col min="10549" max="10549" width="18.140625" style="1" customWidth="1"/>
    <col min="10550" max="10564" width="5.7109375" style="1" customWidth="1"/>
    <col min="10565" max="10565" width="6.42578125" style="1" customWidth="1"/>
    <col min="10566" max="10566" width="7.42578125" style="1" customWidth="1"/>
    <col min="10567" max="10579" width="5.7109375" style="1" customWidth="1"/>
    <col min="10580" max="10580" width="6.5703125" style="1" customWidth="1"/>
    <col min="10581" max="10581" width="7.5703125" style="1" customWidth="1"/>
    <col min="10582" max="10582" width="6.5703125" style="1" customWidth="1"/>
    <col min="10583" max="10583" width="18.28515625" style="1" customWidth="1"/>
    <col min="10584" max="10754" width="8.42578125" style="1"/>
    <col min="10755" max="10755" width="10.85546875" style="1" customWidth="1"/>
    <col min="10756" max="10756" width="18.5703125" style="1" customWidth="1"/>
    <col min="10757" max="10757" width="10" style="1" customWidth="1"/>
    <col min="10758" max="10758" width="10.28515625" style="1" customWidth="1"/>
    <col min="10759" max="10763" width="8.28515625" style="1" customWidth="1"/>
    <col min="10764" max="10764" width="10.28515625" style="1" customWidth="1"/>
    <col min="10765" max="10765" width="8.28515625" style="1" customWidth="1"/>
    <col min="10766" max="10766" width="18.28515625" style="1" customWidth="1"/>
    <col min="10767" max="10767" width="6" style="1" customWidth="1"/>
    <col min="10768" max="10769" width="5.42578125" style="1" customWidth="1"/>
    <col min="10770" max="10770" width="5.5703125" style="1" customWidth="1"/>
    <col min="10771" max="10771" width="5.140625" style="1" customWidth="1"/>
    <col min="10772" max="10772" width="5.42578125" style="1" customWidth="1"/>
    <col min="10773" max="10774" width="5.140625" style="1" customWidth="1"/>
    <col min="10775" max="10775" width="5.42578125" style="1" customWidth="1"/>
    <col min="10776" max="10776" width="5.140625" style="1" customWidth="1"/>
    <col min="10777" max="10777" width="5" style="1" customWidth="1"/>
    <col min="10778" max="10778" width="5.42578125" style="1" customWidth="1"/>
    <col min="10779" max="10779" width="9.5703125" style="1" customWidth="1"/>
    <col min="10780" max="10780" width="6.85546875" style="1" customWidth="1"/>
    <col min="10781" max="10781" width="5.140625" style="1" customWidth="1"/>
    <col min="10782" max="10782" width="18.140625" style="1" customWidth="1"/>
    <col min="10783" max="10800" width="5.7109375" style="1" customWidth="1"/>
    <col min="10801" max="10801" width="7.5703125" style="1" customWidth="1"/>
    <col min="10802" max="10802" width="7.28515625" style="1" customWidth="1"/>
    <col min="10803" max="10804" width="5.7109375" style="1" customWidth="1"/>
    <col min="10805" max="10805" width="18.140625" style="1" customWidth="1"/>
    <col min="10806" max="10820" width="5.7109375" style="1" customWidth="1"/>
    <col min="10821" max="10821" width="6.42578125" style="1" customWidth="1"/>
    <col min="10822" max="10822" width="7.42578125" style="1" customWidth="1"/>
    <col min="10823" max="10835" width="5.7109375" style="1" customWidth="1"/>
    <col min="10836" max="10836" width="6.5703125" style="1" customWidth="1"/>
    <col min="10837" max="10837" width="7.5703125" style="1" customWidth="1"/>
    <col min="10838" max="10838" width="6.5703125" style="1" customWidth="1"/>
    <col min="10839" max="10839" width="18.28515625" style="1" customWidth="1"/>
    <col min="10840" max="11010" width="8.42578125" style="1"/>
    <col min="11011" max="11011" width="10.85546875" style="1" customWidth="1"/>
    <col min="11012" max="11012" width="18.5703125" style="1" customWidth="1"/>
    <col min="11013" max="11013" width="10" style="1" customWidth="1"/>
    <col min="11014" max="11014" width="10.28515625" style="1" customWidth="1"/>
    <col min="11015" max="11019" width="8.28515625" style="1" customWidth="1"/>
    <col min="11020" max="11020" width="10.28515625" style="1" customWidth="1"/>
    <col min="11021" max="11021" width="8.28515625" style="1" customWidth="1"/>
    <col min="11022" max="11022" width="18.28515625" style="1" customWidth="1"/>
    <col min="11023" max="11023" width="6" style="1" customWidth="1"/>
    <col min="11024" max="11025" width="5.42578125" style="1" customWidth="1"/>
    <col min="11026" max="11026" width="5.5703125" style="1" customWidth="1"/>
    <col min="11027" max="11027" width="5.140625" style="1" customWidth="1"/>
    <col min="11028" max="11028" width="5.42578125" style="1" customWidth="1"/>
    <col min="11029" max="11030" width="5.140625" style="1" customWidth="1"/>
    <col min="11031" max="11031" width="5.42578125" style="1" customWidth="1"/>
    <col min="11032" max="11032" width="5.140625" style="1" customWidth="1"/>
    <col min="11033" max="11033" width="5" style="1" customWidth="1"/>
    <col min="11034" max="11034" width="5.42578125" style="1" customWidth="1"/>
    <col min="11035" max="11035" width="9.5703125" style="1" customWidth="1"/>
    <col min="11036" max="11036" width="6.85546875" style="1" customWidth="1"/>
    <col min="11037" max="11037" width="5.140625" style="1" customWidth="1"/>
    <col min="11038" max="11038" width="18.140625" style="1" customWidth="1"/>
    <col min="11039" max="11056" width="5.7109375" style="1" customWidth="1"/>
    <col min="11057" max="11057" width="7.5703125" style="1" customWidth="1"/>
    <col min="11058" max="11058" width="7.28515625" style="1" customWidth="1"/>
    <col min="11059" max="11060" width="5.7109375" style="1" customWidth="1"/>
    <col min="11061" max="11061" width="18.140625" style="1" customWidth="1"/>
    <col min="11062" max="11076" width="5.7109375" style="1" customWidth="1"/>
    <col min="11077" max="11077" width="6.42578125" style="1" customWidth="1"/>
    <col min="11078" max="11078" width="7.42578125" style="1" customWidth="1"/>
    <col min="11079" max="11091" width="5.7109375" style="1" customWidth="1"/>
    <col min="11092" max="11092" width="6.5703125" style="1" customWidth="1"/>
    <col min="11093" max="11093" width="7.5703125" style="1" customWidth="1"/>
    <col min="11094" max="11094" width="6.5703125" style="1" customWidth="1"/>
    <col min="11095" max="11095" width="18.28515625" style="1" customWidth="1"/>
    <col min="11096" max="11266" width="8.42578125" style="1"/>
    <col min="11267" max="11267" width="10.85546875" style="1" customWidth="1"/>
    <col min="11268" max="11268" width="18.5703125" style="1" customWidth="1"/>
    <col min="11269" max="11269" width="10" style="1" customWidth="1"/>
    <col min="11270" max="11270" width="10.28515625" style="1" customWidth="1"/>
    <col min="11271" max="11275" width="8.28515625" style="1" customWidth="1"/>
    <col min="11276" max="11276" width="10.28515625" style="1" customWidth="1"/>
    <col min="11277" max="11277" width="8.28515625" style="1" customWidth="1"/>
    <col min="11278" max="11278" width="18.28515625" style="1" customWidth="1"/>
    <col min="11279" max="11279" width="6" style="1" customWidth="1"/>
    <col min="11280" max="11281" width="5.42578125" style="1" customWidth="1"/>
    <col min="11282" max="11282" width="5.5703125" style="1" customWidth="1"/>
    <col min="11283" max="11283" width="5.140625" style="1" customWidth="1"/>
    <col min="11284" max="11284" width="5.42578125" style="1" customWidth="1"/>
    <col min="11285" max="11286" width="5.140625" style="1" customWidth="1"/>
    <col min="11287" max="11287" width="5.42578125" style="1" customWidth="1"/>
    <col min="11288" max="11288" width="5.140625" style="1" customWidth="1"/>
    <col min="11289" max="11289" width="5" style="1" customWidth="1"/>
    <col min="11290" max="11290" width="5.42578125" style="1" customWidth="1"/>
    <col min="11291" max="11291" width="9.5703125" style="1" customWidth="1"/>
    <col min="11292" max="11292" width="6.85546875" style="1" customWidth="1"/>
    <col min="11293" max="11293" width="5.140625" style="1" customWidth="1"/>
    <col min="11294" max="11294" width="18.140625" style="1" customWidth="1"/>
    <col min="11295" max="11312" width="5.7109375" style="1" customWidth="1"/>
    <col min="11313" max="11313" width="7.5703125" style="1" customWidth="1"/>
    <col min="11314" max="11314" width="7.28515625" style="1" customWidth="1"/>
    <col min="11315" max="11316" width="5.7109375" style="1" customWidth="1"/>
    <col min="11317" max="11317" width="18.140625" style="1" customWidth="1"/>
    <col min="11318" max="11332" width="5.7109375" style="1" customWidth="1"/>
    <col min="11333" max="11333" width="6.42578125" style="1" customWidth="1"/>
    <col min="11334" max="11334" width="7.42578125" style="1" customWidth="1"/>
    <col min="11335" max="11347" width="5.7109375" style="1" customWidth="1"/>
    <col min="11348" max="11348" width="6.5703125" style="1" customWidth="1"/>
    <col min="11349" max="11349" width="7.5703125" style="1" customWidth="1"/>
    <col min="11350" max="11350" width="6.5703125" style="1" customWidth="1"/>
    <col min="11351" max="11351" width="18.28515625" style="1" customWidth="1"/>
    <col min="11352" max="11522" width="8.42578125" style="1"/>
    <col min="11523" max="11523" width="10.85546875" style="1" customWidth="1"/>
    <col min="11524" max="11524" width="18.5703125" style="1" customWidth="1"/>
    <col min="11525" max="11525" width="10" style="1" customWidth="1"/>
    <col min="11526" max="11526" width="10.28515625" style="1" customWidth="1"/>
    <col min="11527" max="11531" width="8.28515625" style="1" customWidth="1"/>
    <col min="11532" max="11532" width="10.28515625" style="1" customWidth="1"/>
    <col min="11533" max="11533" width="8.28515625" style="1" customWidth="1"/>
    <col min="11534" max="11534" width="18.28515625" style="1" customWidth="1"/>
    <col min="11535" max="11535" width="6" style="1" customWidth="1"/>
    <col min="11536" max="11537" width="5.42578125" style="1" customWidth="1"/>
    <col min="11538" max="11538" width="5.5703125" style="1" customWidth="1"/>
    <col min="11539" max="11539" width="5.140625" style="1" customWidth="1"/>
    <col min="11540" max="11540" width="5.42578125" style="1" customWidth="1"/>
    <col min="11541" max="11542" width="5.140625" style="1" customWidth="1"/>
    <col min="11543" max="11543" width="5.42578125" style="1" customWidth="1"/>
    <col min="11544" max="11544" width="5.140625" style="1" customWidth="1"/>
    <col min="11545" max="11545" width="5" style="1" customWidth="1"/>
    <col min="11546" max="11546" width="5.42578125" style="1" customWidth="1"/>
    <col min="11547" max="11547" width="9.5703125" style="1" customWidth="1"/>
    <col min="11548" max="11548" width="6.85546875" style="1" customWidth="1"/>
    <col min="11549" max="11549" width="5.140625" style="1" customWidth="1"/>
    <col min="11550" max="11550" width="18.140625" style="1" customWidth="1"/>
    <col min="11551" max="11568" width="5.7109375" style="1" customWidth="1"/>
    <col min="11569" max="11569" width="7.5703125" style="1" customWidth="1"/>
    <col min="11570" max="11570" width="7.28515625" style="1" customWidth="1"/>
    <col min="11571" max="11572" width="5.7109375" style="1" customWidth="1"/>
    <col min="11573" max="11573" width="18.140625" style="1" customWidth="1"/>
    <col min="11574" max="11588" width="5.7109375" style="1" customWidth="1"/>
    <col min="11589" max="11589" width="6.42578125" style="1" customWidth="1"/>
    <col min="11590" max="11590" width="7.42578125" style="1" customWidth="1"/>
    <col min="11591" max="11603" width="5.7109375" style="1" customWidth="1"/>
    <col min="11604" max="11604" width="6.5703125" style="1" customWidth="1"/>
    <col min="11605" max="11605" width="7.5703125" style="1" customWidth="1"/>
    <col min="11606" max="11606" width="6.5703125" style="1" customWidth="1"/>
    <col min="11607" max="11607" width="18.28515625" style="1" customWidth="1"/>
    <col min="11608" max="11778" width="8.42578125" style="1"/>
    <col min="11779" max="11779" width="10.85546875" style="1" customWidth="1"/>
    <col min="11780" max="11780" width="18.5703125" style="1" customWidth="1"/>
    <col min="11781" max="11781" width="10" style="1" customWidth="1"/>
    <col min="11782" max="11782" width="10.28515625" style="1" customWidth="1"/>
    <col min="11783" max="11787" width="8.28515625" style="1" customWidth="1"/>
    <col min="11788" max="11788" width="10.28515625" style="1" customWidth="1"/>
    <col min="11789" max="11789" width="8.28515625" style="1" customWidth="1"/>
    <col min="11790" max="11790" width="18.28515625" style="1" customWidth="1"/>
    <col min="11791" max="11791" width="6" style="1" customWidth="1"/>
    <col min="11792" max="11793" width="5.42578125" style="1" customWidth="1"/>
    <col min="11794" max="11794" width="5.5703125" style="1" customWidth="1"/>
    <col min="11795" max="11795" width="5.140625" style="1" customWidth="1"/>
    <col min="11796" max="11796" width="5.42578125" style="1" customWidth="1"/>
    <col min="11797" max="11798" width="5.140625" style="1" customWidth="1"/>
    <col min="11799" max="11799" width="5.42578125" style="1" customWidth="1"/>
    <col min="11800" max="11800" width="5.140625" style="1" customWidth="1"/>
    <col min="11801" max="11801" width="5" style="1" customWidth="1"/>
    <col min="11802" max="11802" width="5.42578125" style="1" customWidth="1"/>
    <col min="11803" max="11803" width="9.5703125" style="1" customWidth="1"/>
    <col min="11804" max="11804" width="6.85546875" style="1" customWidth="1"/>
    <col min="11805" max="11805" width="5.140625" style="1" customWidth="1"/>
    <col min="11806" max="11806" width="18.140625" style="1" customWidth="1"/>
    <col min="11807" max="11824" width="5.7109375" style="1" customWidth="1"/>
    <col min="11825" max="11825" width="7.5703125" style="1" customWidth="1"/>
    <col min="11826" max="11826" width="7.28515625" style="1" customWidth="1"/>
    <col min="11827" max="11828" width="5.7109375" style="1" customWidth="1"/>
    <col min="11829" max="11829" width="18.140625" style="1" customWidth="1"/>
    <col min="11830" max="11844" width="5.7109375" style="1" customWidth="1"/>
    <col min="11845" max="11845" width="6.42578125" style="1" customWidth="1"/>
    <col min="11846" max="11846" width="7.42578125" style="1" customWidth="1"/>
    <col min="11847" max="11859" width="5.7109375" style="1" customWidth="1"/>
    <col min="11860" max="11860" width="6.5703125" style="1" customWidth="1"/>
    <col min="11861" max="11861" width="7.5703125" style="1" customWidth="1"/>
    <col min="11862" max="11862" width="6.5703125" style="1" customWidth="1"/>
    <col min="11863" max="11863" width="18.28515625" style="1" customWidth="1"/>
    <col min="11864" max="12034" width="8.42578125" style="1"/>
    <col min="12035" max="12035" width="10.85546875" style="1" customWidth="1"/>
    <col min="12036" max="12036" width="18.5703125" style="1" customWidth="1"/>
    <col min="12037" max="12037" width="10" style="1" customWidth="1"/>
    <col min="12038" max="12038" width="10.28515625" style="1" customWidth="1"/>
    <col min="12039" max="12043" width="8.28515625" style="1" customWidth="1"/>
    <col min="12044" max="12044" width="10.28515625" style="1" customWidth="1"/>
    <col min="12045" max="12045" width="8.28515625" style="1" customWidth="1"/>
    <col min="12046" max="12046" width="18.28515625" style="1" customWidth="1"/>
    <col min="12047" max="12047" width="6" style="1" customWidth="1"/>
    <col min="12048" max="12049" width="5.42578125" style="1" customWidth="1"/>
    <col min="12050" max="12050" width="5.5703125" style="1" customWidth="1"/>
    <col min="12051" max="12051" width="5.140625" style="1" customWidth="1"/>
    <col min="12052" max="12052" width="5.42578125" style="1" customWidth="1"/>
    <col min="12053" max="12054" width="5.140625" style="1" customWidth="1"/>
    <col min="12055" max="12055" width="5.42578125" style="1" customWidth="1"/>
    <col min="12056" max="12056" width="5.140625" style="1" customWidth="1"/>
    <col min="12057" max="12057" width="5" style="1" customWidth="1"/>
    <col min="12058" max="12058" width="5.42578125" style="1" customWidth="1"/>
    <col min="12059" max="12059" width="9.5703125" style="1" customWidth="1"/>
    <col min="12060" max="12060" width="6.85546875" style="1" customWidth="1"/>
    <col min="12061" max="12061" width="5.140625" style="1" customWidth="1"/>
    <col min="12062" max="12062" width="18.140625" style="1" customWidth="1"/>
    <col min="12063" max="12080" width="5.7109375" style="1" customWidth="1"/>
    <col min="12081" max="12081" width="7.5703125" style="1" customWidth="1"/>
    <col min="12082" max="12082" width="7.28515625" style="1" customWidth="1"/>
    <col min="12083" max="12084" width="5.7109375" style="1" customWidth="1"/>
    <col min="12085" max="12085" width="18.140625" style="1" customWidth="1"/>
    <col min="12086" max="12100" width="5.7109375" style="1" customWidth="1"/>
    <col min="12101" max="12101" width="6.42578125" style="1" customWidth="1"/>
    <col min="12102" max="12102" width="7.42578125" style="1" customWidth="1"/>
    <col min="12103" max="12115" width="5.7109375" style="1" customWidth="1"/>
    <col min="12116" max="12116" width="6.5703125" style="1" customWidth="1"/>
    <col min="12117" max="12117" width="7.5703125" style="1" customWidth="1"/>
    <col min="12118" max="12118" width="6.5703125" style="1" customWidth="1"/>
    <col min="12119" max="12119" width="18.28515625" style="1" customWidth="1"/>
    <col min="12120" max="12290" width="8.42578125" style="1"/>
    <col min="12291" max="12291" width="10.85546875" style="1" customWidth="1"/>
    <col min="12292" max="12292" width="18.5703125" style="1" customWidth="1"/>
    <col min="12293" max="12293" width="10" style="1" customWidth="1"/>
    <col min="12294" max="12294" width="10.28515625" style="1" customWidth="1"/>
    <col min="12295" max="12299" width="8.28515625" style="1" customWidth="1"/>
    <col min="12300" max="12300" width="10.28515625" style="1" customWidth="1"/>
    <col min="12301" max="12301" width="8.28515625" style="1" customWidth="1"/>
    <col min="12302" max="12302" width="18.28515625" style="1" customWidth="1"/>
    <col min="12303" max="12303" width="6" style="1" customWidth="1"/>
    <col min="12304" max="12305" width="5.42578125" style="1" customWidth="1"/>
    <col min="12306" max="12306" width="5.5703125" style="1" customWidth="1"/>
    <col min="12307" max="12307" width="5.140625" style="1" customWidth="1"/>
    <col min="12308" max="12308" width="5.42578125" style="1" customWidth="1"/>
    <col min="12309" max="12310" width="5.140625" style="1" customWidth="1"/>
    <col min="12311" max="12311" width="5.42578125" style="1" customWidth="1"/>
    <col min="12312" max="12312" width="5.140625" style="1" customWidth="1"/>
    <col min="12313" max="12313" width="5" style="1" customWidth="1"/>
    <col min="12314" max="12314" width="5.42578125" style="1" customWidth="1"/>
    <col min="12315" max="12315" width="9.5703125" style="1" customWidth="1"/>
    <col min="12316" max="12316" width="6.85546875" style="1" customWidth="1"/>
    <col min="12317" max="12317" width="5.140625" style="1" customWidth="1"/>
    <col min="12318" max="12318" width="18.140625" style="1" customWidth="1"/>
    <col min="12319" max="12336" width="5.7109375" style="1" customWidth="1"/>
    <col min="12337" max="12337" width="7.5703125" style="1" customWidth="1"/>
    <col min="12338" max="12338" width="7.28515625" style="1" customWidth="1"/>
    <col min="12339" max="12340" width="5.7109375" style="1" customWidth="1"/>
    <col min="12341" max="12341" width="18.140625" style="1" customWidth="1"/>
    <col min="12342" max="12356" width="5.7109375" style="1" customWidth="1"/>
    <col min="12357" max="12357" width="6.42578125" style="1" customWidth="1"/>
    <col min="12358" max="12358" width="7.42578125" style="1" customWidth="1"/>
    <col min="12359" max="12371" width="5.7109375" style="1" customWidth="1"/>
    <col min="12372" max="12372" width="6.5703125" style="1" customWidth="1"/>
    <col min="12373" max="12373" width="7.5703125" style="1" customWidth="1"/>
    <col min="12374" max="12374" width="6.5703125" style="1" customWidth="1"/>
    <col min="12375" max="12375" width="18.28515625" style="1" customWidth="1"/>
    <col min="12376" max="12546" width="8.42578125" style="1"/>
    <col min="12547" max="12547" width="10.85546875" style="1" customWidth="1"/>
    <col min="12548" max="12548" width="18.5703125" style="1" customWidth="1"/>
    <col min="12549" max="12549" width="10" style="1" customWidth="1"/>
    <col min="12550" max="12550" width="10.28515625" style="1" customWidth="1"/>
    <col min="12551" max="12555" width="8.28515625" style="1" customWidth="1"/>
    <col min="12556" max="12556" width="10.28515625" style="1" customWidth="1"/>
    <col min="12557" max="12557" width="8.28515625" style="1" customWidth="1"/>
    <col min="12558" max="12558" width="18.28515625" style="1" customWidth="1"/>
    <col min="12559" max="12559" width="6" style="1" customWidth="1"/>
    <col min="12560" max="12561" width="5.42578125" style="1" customWidth="1"/>
    <col min="12562" max="12562" width="5.5703125" style="1" customWidth="1"/>
    <col min="12563" max="12563" width="5.140625" style="1" customWidth="1"/>
    <col min="12564" max="12564" width="5.42578125" style="1" customWidth="1"/>
    <col min="12565" max="12566" width="5.140625" style="1" customWidth="1"/>
    <col min="12567" max="12567" width="5.42578125" style="1" customWidth="1"/>
    <col min="12568" max="12568" width="5.140625" style="1" customWidth="1"/>
    <col min="12569" max="12569" width="5" style="1" customWidth="1"/>
    <col min="12570" max="12570" width="5.42578125" style="1" customWidth="1"/>
    <col min="12571" max="12571" width="9.5703125" style="1" customWidth="1"/>
    <col min="12572" max="12572" width="6.85546875" style="1" customWidth="1"/>
    <col min="12573" max="12573" width="5.140625" style="1" customWidth="1"/>
    <col min="12574" max="12574" width="18.140625" style="1" customWidth="1"/>
    <col min="12575" max="12592" width="5.7109375" style="1" customWidth="1"/>
    <col min="12593" max="12593" width="7.5703125" style="1" customWidth="1"/>
    <col min="12594" max="12594" width="7.28515625" style="1" customWidth="1"/>
    <col min="12595" max="12596" width="5.7109375" style="1" customWidth="1"/>
    <col min="12597" max="12597" width="18.140625" style="1" customWidth="1"/>
    <col min="12598" max="12612" width="5.7109375" style="1" customWidth="1"/>
    <col min="12613" max="12613" width="6.42578125" style="1" customWidth="1"/>
    <col min="12614" max="12614" width="7.42578125" style="1" customWidth="1"/>
    <col min="12615" max="12627" width="5.7109375" style="1" customWidth="1"/>
    <col min="12628" max="12628" width="6.5703125" style="1" customWidth="1"/>
    <col min="12629" max="12629" width="7.5703125" style="1" customWidth="1"/>
    <col min="12630" max="12630" width="6.5703125" style="1" customWidth="1"/>
    <col min="12631" max="12631" width="18.28515625" style="1" customWidth="1"/>
    <col min="12632" max="12802" width="8.42578125" style="1"/>
    <col min="12803" max="12803" width="10.85546875" style="1" customWidth="1"/>
    <col min="12804" max="12804" width="18.5703125" style="1" customWidth="1"/>
    <col min="12805" max="12805" width="10" style="1" customWidth="1"/>
    <col min="12806" max="12806" width="10.28515625" style="1" customWidth="1"/>
    <col min="12807" max="12811" width="8.28515625" style="1" customWidth="1"/>
    <col min="12812" max="12812" width="10.28515625" style="1" customWidth="1"/>
    <col min="12813" max="12813" width="8.28515625" style="1" customWidth="1"/>
    <col min="12814" max="12814" width="18.28515625" style="1" customWidth="1"/>
    <col min="12815" max="12815" width="6" style="1" customWidth="1"/>
    <col min="12816" max="12817" width="5.42578125" style="1" customWidth="1"/>
    <col min="12818" max="12818" width="5.5703125" style="1" customWidth="1"/>
    <col min="12819" max="12819" width="5.140625" style="1" customWidth="1"/>
    <col min="12820" max="12820" width="5.42578125" style="1" customWidth="1"/>
    <col min="12821" max="12822" width="5.140625" style="1" customWidth="1"/>
    <col min="12823" max="12823" width="5.42578125" style="1" customWidth="1"/>
    <col min="12824" max="12824" width="5.140625" style="1" customWidth="1"/>
    <col min="12825" max="12825" width="5" style="1" customWidth="1"/>
    <col min="12826" max="12826" width="5.42578125" style="1" customWidth="1"/>
    <col min="12827" max="12827" width="9.5703125" style="1" customWidth="1"/>
    <col min="12828" max="12828" width="6.85546875" style="1" customWidth="1"/>
    <col min="12829" max="12829" width="5.140625" style="1" customWidth="1"/>
    <col min="12830" max="12830" width="18.140625" style="1" customWidth="1"/>
    <col min="12831" max="12848" width="5.7109375" style="1" customWidth="1"/>
    <col min="12849" max="12849" width="7.5703125" style="1" customWidth="1"/>
    <col min="12850" max="12850" width="7.28515625" style="1" customWidth="1"/>
    <col min="12851" max="12852" width="5.7109375" style="1" customWidth="1"/>
    <col min="12853" max="12853" width="18.140625" style="1" customWidth="1"/>
    <col min="12854" max="12868" width="5.7109375" style="1" customWidth="1"/>
    <col min="12869" max="12869" width="6.42578125" style="1" customWidth="1"/>
    <col min="12870" max="12870" width="7.42578125" style="1" customWidth="1"/>
    <col min="12871" max="12883" width="5.7109375" style="1" customWidth="1"/>
    <col min="12884" max="12884" width="6.5703125" style="1" customWidth="1"/>
    <col min="12885" max="12885" width="7.5703125" style="1" customWidth="1"/>
    <col min="12886" max="12886" width="6.5703125" style="1" customWidth="1"/>
    <col min="12887" max="12887" width="18.28515625" style="1" customWidth="1"/>
    <col min="12888" max="13058" width="8.42578125" style="1"/>
    <col min="13059" max="13059" width="10.85546875" style="1" customWidth="1"/>
    <col min="13060" max="13060" width="18.5703125" style="1" customWidth="1"/>
    <col min="13061" max="13061" width="10" style="1" customWidth="1"/>
    <col min="13062" max="13062" width="10.28515625" style="1" customWidth="1"/>
    <col min="13063" max="13067" width="8.28515625" style="1" customWidth="1"/>
    <col min="13068" max="13068" width="10.28515625" style="1" customWidth="1"/>
    <col min="13069" max="13069" width="8.28515625" style="1" customWidth="1"/>
    <col min="13070" max="13070" width="18.28515625" style="1" customWidth="1"/>
    <col min="13071" max="13071" width="6" style="1" customWidth="1"/>
    <col min="13072" max="13073" width="5.42578125" style="1" customWidth="1"/>
    <col min="13074" max="13074" width="5.5703125" style="1" customWidth="1"/>
    <col min="13075" max="13075" width="5.140625" style="1" customWidth="1"/>
    <col min="13076" max="13076" width="5.42578125" style="1" customWidth="1"/>
    <col min="13077" max="13078" width="5.140625" style="1" customWidth="1"/>
    <col min="13079" max="13079" width="5.42578125" style="1" customWidth="1"/>
    <col min="13080" max="13080" width="5.140625" style="1" customWidth="1"/>
    <col min="13081" max="13081" width="5" style="1" customWidth="1"/>
    <col min="13082" max="13082" width="5.42578125" style="1" customWidth="1"/>
    <col min="13083" max="13083" width="9.5703125" style="1" customWidth="1"/>
    <col min="13084" max="13084" width="6.85546875" style="1" customWidth="1"/>
    <col min="13085" max="13085" width="5.140625" style="1" customWidth="1"/>
    <col min="13086" max="13086" width="18.140625" style="1" customWidth="1"/>
    <col min="13087" max="13104" width="5.7109375" style="1" customWidth="1"/>
    <col min="13105" max="13105" width="7.5703125" style="1" customWidth="1"/>
    <col min="13106" max="13106" width="7.28515625" style="1" customWidth="1"/>
    <col min="13107" max="13108" width="5.7109375" style="1" customWidth="1"/>
    <col min="13109" max="13109" width="18.140625" style="1" customWidth="1"/>
    <col min="13110" max="13124" width="5.7109375" style="1" customWidth="1"/>
    <col min="13125" max="13125" width="6.42578125" style="1" customWidth="1"/>
    <col min="13126" max="13126" width="7.42578125" style="1" customWidth="1"/>
    <col min="13127" max="13139" width="5.7109375" style="1" customWidth="1"/>
    <col min="13140" max="13140" width="6.5703125" style="1" customWidth="1"/>
    <col min="13141" max="13141" width="7.5703125" style="1" customWidth="1"/>
    <col min="13142" max="13142" width="6.5703125" style="1" customWidth="1"/>
    <col min="13143" max="13143" width="18.28515625" style="1" customWidth="1"/>
    <col min="13144" max="13314" width="8.42578125" style="1"/>
    <col min="13315" max="13315" width="10.85546875" style="1" customWidth="1"/>
    <col min="13316" max="13316" width="18.5703125" style="1" customWidth="1"/>
    <col min="13317" max="13317" width="10" style="1" customWidth="1"/>
    <col min="13318" max="13318" width="10.28515625" style="1" customWidth="1"/>
    <col min="13319" max="13323" width="8.28515625" style="1" customWidth="1"/>
    <col min="13324" max="13324" width="10.28515625" style="1" customWidth="1"/>
    <col min="13325" max="13325" width="8.28515625" style="1" customWidth="1"/>
    <col min="13326" max="13326" width="18.28515625" style="1" customWidth="1"/>
    <col min="13327" max="13327" width="6" style="1" customWidth="1"/>
    <col min="13328" max="13329" width="5.42578125" style="1" customWidth="1"/>
    <col min="13330" max="13330" width="5.5703125" style="1" customWidth="1"/>
    <col min="13331" max="13331" width="5.140625" style="1" customWidth="1"/>
    <col min="13332" max="13332" width="5.42578125" style="1" customWidth="1"/>
    <col min="13333" max="13334" width="5.140625" style="1" customWidth="1"/>
    <col min="13335" max="13335" width="5.42578125" style="1" customWidth="1"/>
    <col min="13336" max="13336" width="5.140625" style="1" customWidth="1"/>
    <col min="13337" max="13337" width="5" style="1" customWidth="1"/>
    <col min="13338" max="13338" width="5.42578125" style="1" customWidth="1"/>
    <col min="13339" max="13339" width="9.5703125" style="1" customWidth="1"/>
    <col min="13340" max="13340" width="6.85546875" style="1" customWidth="1"/>
    <col min="13341" max="13341" width="5.140625" style="1" customWidth="1"/>
    <col min="13342" max="13342" width="18.140625" style="1" customWidth="1"/>
    <col min="13343" max="13360" width="5.7109375" style="1" customWidth="1"/>
    <col min="13361" max="13361" width="7.5703125" style="1" customWidth="1"/>
    <col min="13362" max="13362" width="7.28515625" style="1" customWidth="1"/>
    <col min="13363" max="13364" width="5.7109375" style="1" customWidth="1"/>
    <col min="13365" max="13365" width="18.140625" style="1" customWidth="1"/>
    <col min="13366" max="13380" width="5.7109375" style="1" customWidth="1"/>
    <col min="13381" max="13381" width="6.42578125" style="1" customWidth="1"/>
    <col min="13382" max="13382" width="7.42578125" style="1" customWidth="1"/>
    <col min="13383" max="13395" width="5.7109375" style="1" customWidth="1"/>
    <col min="13396" max="13396" width="6.5703125" style="1" customWidth="1"/>
    <col min="13397" max="13397" width="7.5703125" style="1" customWidth="1"/>
    <col min="13398" max="13398" width="6.5703125" style="1" customWidth="1"/>
    <col min="13399" max="13399" width="18.28515625" style="1" customWidth="1"/>
    <col min="13400" max="13570" width="8.42578125" style="1"/>
    <col min="13571" max="13571" width="10.85546875" style="1" customWidth="1"/>
    <col min="13572" max="13572" width="18.5703125" style="1" customWidth="1"/>
    <col min="13573" max="13573" width="10" style="1" customWidth="1"/>
    <col min="13574" max="13574" width="10.28515625" style="1" customWidth="1"/>
    <col min="13575" max="13579" width="8.28515625" style="1" customWidth="1"/>
    <col min="13580" max="13580" width="10.28515625" style="1" customWidth="1"/>
    <col min="13581" max="13581" width="8.28515625" style="1" customWidth="1"/>
    <col min="13582" max="13582" width="18.28515625" style="1" customWidth="1"/>
    <col min="13583" max="13583" width="6" style="1" customWidth="1"/>
    <col min="13584" max="13585" width="5.42578125" style="1" customWidth="1"/>
    <col min="13586" max="13586" width="5.5703125" style="1" customWidth="1"/>
    <col min="13587" max="13587" width="5.140625" style="1" customWidth="1"/>
    <col min="13588" max="13588" width="5.42578125" style="1" customWidth="1"/>
    <col min="13589" max="13590" width="5.140625" style="1" customWidth="1"/>
    <col min="13591" max="13591" width="5.42578125" style="1" customWidth="1"/>
    <col min="13592" max="13592" width="5.140625" style="1" customWidth="1"/>
    <col min="13593" max="13593" width="5" style="1" customWidth="1"/>
    <col min="13594" max="13594" width="5.42578125" style="1" customWidth="1"/>
    <col min="13595" max="13595" width="9.5703125" style="1" customWidth="1"/>
    <col min="13596" max="13596" width="6.85546875" style="1" customWidth="1"/>
    <col min="13597" max="13597" width="5.140625" style="1" customWidth="1"/>
    <col min="13598" max="13598" width="18.140625" style="1" customWidth="1"/>
    <col min="13599" max="13616" width="5.7109375" style="1" customWidth="1"/>
    <col min="13617" max="13617" width="7.5703125" style="1" customWidth="1"/>
    <col min="13618" max="13618" width="7.28515625" style="1" customWidth="1"/>
    <col min="13619" max="13620" width="5.7109375" style="1" customWidth="1"/>
    <col min="13621" max="13621" width="18.140625" style="1" customWidth="1"/>
    <col min="13622" max="13636" width="5.7109375" style="1" customWidth="1"/>
    <col min="13637" max="13637" width="6.42578125" style="1" customWidth="1"/>
    <col min="13638" max="13638" width="7.42578125" style="1" customWidth="1"/>
    <col min="13639" max="13651" width="5.7109375" style="1" customWidth="1"/>
    <col min="13652" max="13652" width="6.5703125" style="1" customWidth="1"/>
    <col min="13653" max="13653" width="7.5703125" style="1" customWidth="1"/>
    <col min="13654" max="13654" width="6.5703125" style="1" customWidth="1"/>
    <col min="13655" max="13655" width="18.28515625" style="1" customWidth="1"/>
    <col min="13656" max="13826" width="8.42578125" style="1"/>
    <col min="13827" max="13827" width="10.85546875" style="1" customWidth="1"/>
    <col min="13828" max="13828" width="18.5703125" style="1" customWidth="1"/>
    <col min="13829" max="13829" width="10" style="1" customWidth="1"/>
    <col min="13830" max="13830" width="10.28515625" style="1" customWidth="1"/>
    <col min="13831" max="13835" width="8.28515625" style="1" customWidth="1"/>
    <col min="13836" max="13836" width="10.28515625" style="1" customWidth="1"/>
    <col min="13837" max="13837" width="8.28515625" style="1" customWidth="1"/>
    <col min="13838" max="13838" width="18.28515625" style="1" customWidth="1"/>
    <col min="13839" max="13839" width="6" style="1" customWidth="1"/>
    <col min="13840" max="13841" width="5.42578125" style="1" customWidth="1"/>
    <col min="13842" max="13842" width="5.5703125" style="1" customWidth="1"/>
    <col min="13843" max="13843" width="5.140625" style="1" customWidth="1"/>
    <col min="13844" max="13844" width="5.42578125" style="1" customWidth="1"/>
    <col min="13845" max="13846" width="5.140625" style="1" customWidth="1"/>
    <col min="13847" max="13847" width="5.42578125" style="1" customWidth="1"/>
    <col min="13848" max="13848" width="5.140625" style="1" customWidth="1"/>
    <col min="13849" max="13849" width="5" style="1" customWidth="1"/>
    <col min="13850" max="13850" width="5.42578125" style="1" customWidth="1"/>
    <col min="13851" max="13851" width="9.5703125" style="1" customWidth="1"/>
    <col min="13852" max="13852" width="6.85546875" style="1" customWidth="1"/>
    <col min="13853" max="13853" width="5.140625" style="1" customWidth="1"/>
    <col min="13854" max="13854" width="18.140625" style="1" customWidth="1"/>
    <col min="13855" max="13872" width="5.7109375" style="1" customWidth="1"/>
    <col min="13873" max="13873" width="7.5703125" style="1" customWidth="1"/>
    <col min="13874" max="13874" width="7.28515625" style="1" customWidth="1"/>
    <col min="13875" max="13876" width="5.7109375" style="1" customWidth="1"/>
    <col min="13877" max="13877" width="18.140625" style="1" customWidth="1"/>
    <col min="13878" max="13892" width="5.7109375" style="1" customWidth="1"/>
    <col min="13893" max="13893" width="6.42578125" style="1" customWidth="1"/>
    <col min="13894" max="13894" width="7.42578125" style="1" customWidth="1"/>
    <col min="13895" max="13907" width="5.7109375" style="1" customWidth="1"/>
    <col min="13908" max="13908" width="6.5703125" style="1" customWidth="1"/>
    <col min="13909" max="13909" width="7.5703125" style="1" customWidth="1"/>
    <col min="13910" max="13910" width="6.5703125" style="1" customWidth="1"/>
    <col min="13911" max="13911" width="18.28515625" style="1" customWidth="1"/>
    <col min="13912" max="14082" width="8.42578125" style="1"/>
    <col min="14083" max="14083" width="10.85546875" style="1" customWidth="1"/>
    <col min="14084" max="14084" width="18.5703125" style="1" customWidth="1"/>
    <col min="14085" max="14085" width="10" style="1" customWidth="1"/>
    <col min="14086" max="14086" width="10.28515625" style="1" customWidth="1"/>
    <col min="14087" max="14091" width="8.28515625" style="1" customWidth="1"/>
    <col min="14092" max="14092" width="10.28515625" style="1" customWidth="1"/>
    <col min="14093" max="14093" width="8.28515625" style="1" customWidth="1"/>
    <col min="14094" max="14094" width="18.28515625" style="1" customWidth="1"/>
    <col min="14095" max="14095" width="6" style="1" customWidth="1"/>
    <col min="14096" max="14097" width="5.42578125" style="1" customWidth="1"/>
    <col min="14098" max="14098" width="5.5703125" style="1" customWidth="1"/>
    <col min="14099" max="14099" width="5.140625" style="1" customWidth="1"/>
    <col min="14100" max="14100" width="5.42578125" style="1" customWidth="1"/>
    <col min="14101" max="14102" width="5.140625" style="1" customWidth="1"/>
    <col min="14103" max="14103" width="5.42578125" style="1" customWidth="1"/>
    <col min="14104" max="14104" width="5.140625" style="1" customWidth="1"/>
    <col min="14105" max="14105" width="5" style="1" customWidth="1"/>
    <col min="14106" max="14106" width="5.42578125" style="1" customWidth="1"/>
    <col min="14107" max="14107" width="9.5703125" style="1" customWidth="1"/>
    <col min="14108" max="14108" width="6.85546875" style="1" customWidth="1"/>
    <col min="14109" max="14109" width="5.140625" style="1" customWidth="1"/>
    <col min="14110" max="14110" width="18.140625" style="1" customWidth="1"/>
    <col min="14111" max="14128" width="5.7109375" style="1" customWidth="1"/>
    <col min="14129" max="14129" width="7.5703125" style="1" customWidth="1"/>
    <col min="14130" max="14130" width="7.28515625" style="1" customWidth="1"/>
    <col min="14131" max="14132" width="5.7109375" style="1" customWidth="1"/>
    <col min="14133" max="14133" width="18.140625" style="1" customWidth="1"/>
    <col min="14134" max="14148" width="5.7109375" style="1" customWidth="1"/>
    <col min="14149" max="14149" width="6.42578125" style="1" customWidth="1"/>
    <col min="14150" max="14150" width="7.42578125" style="1" customWidth="1"/>
    <col min="14151" max="14163" width="5.7109375" style="1" customWidth="1"/>
    <col min="14164" max="14164" width="6.5703125" style="1" customWidth="1"/>
    <col min="14165" max="14165" width="7.5703125" style="1" customWidth="1"/>
    <col min="14166" max="14166" width="6.5703125" style="1" customWidth="1"/>
    <col min="14167" max="14167" width="18.28515625" style="1" customWidth="1"/>
    <col min="14168" max="14338" width="8.42578125" style="1"/>
    <col min="14339" max="14339" width="10.85546875" style="1" customWidth="1"/>
    <col min="14340" max="14340" width="18.5703125" style="1" customWidth="1"/>
    <col min="14341" max="14341" width="10" style="1" customWidth="1"/>
    <col min="14342" max="14342" width="10.28515625" style="1" customWidth="1"/>
    <col min="14343" max="14347" width="8.28515625" style="1" customWidth="1"/>
    <col min="14348" max="14348" width="10.28515625" style="1" customWidth="1"/>
    <col min="14349" max="14349" width="8.28515625" style="1" customWidth="1"/>
    <col min="14350" max="14350" width="18.28515625" style="1" customWidth="1"/>
    <col min="14351" max="14351" width="6" style="1" customWidth="1"/>
    <col min="14352" max="14353" width="5.42578125" style="1" customWidth="1"/>
    <col min="14354" max="14354" width="5.5703125" style="1" customWidth="1"/>
    <col min="14355" max="14355" width="5.140625" style="1" customWidth="1"/>
    <col min="14356" max="14356" width="5.42578125" style="1" customWidth="1"/>
    <col min="14357" max="14358" width="5.140625" style="1" customWidth="1"/>
    <col min="14359" max="14359" width="5.42578125" style="1" customWidth="1"/>
    <col min="14360" max="14360" width="5.140625" style="1" customWidth="1"/>
    <col min="14361" max="14361" width="5" style="1" customWidth="1"/>
    <col min="14362" max="14362" width="5.42578125" style="1" customWidth="1"/>
    <col min="14363" max="14363" width="9.5703125" style="1" customWidth="1"/>
    <col min="14364" max="14364" width="6.85546875" style="1" customWidth="1"/>
    <col min="14365" max="14365" width="5.140625" style="1" customWidth="1"/>
    <col min="14366" max="14366" width="18.140625" style="1" customWidth="1"/>
    <col min="14367" max="14384" width="5.7109375" style="1" customWidth="1"/>
    <col min="14385" max="14385" width="7.5703125" style="1" customWidth="1"/>
    <col min="14386" max="14386" width="7.28515625" style="1" customWidth="1"/>
    <col min="14387" max="14388" width="5.7109375" style="1" customWidth="1"/>
    <col min="14389" max="14389" width="18.140625" style="1" customWidth="1"/>
    <col min="14390" max="14404" width="5.7109375" style="1" customWidth="1"/>
    <col min="14405" max="14405" width="6.42578125" style="1" customWidth="1"/>
    <col min="14406" max="14406" width="7.42578125" style="1" customWidth="1"/>
    <col min="14407" max="14419" width="5.7109375" style="1" customWidth="1"/>
    <col min="14420" max="14420" width="6.5703125" style="1" customWidth="1"/>
    <col min="14421" max="14421" width="7.5703125" style="1" customWidth="1"/>
    <col min="14422" max="14422" width="6.5703125" style="1" customWidth="1"/>
    <col min="14423" max="14423" width="18.28515625" style="1" customWidth="1"/>
    <col min="14424" max="14594" width="8.42578125" style="1"/>
    <col min="14595" max="14595" width="10.85546875" style="1" customWidth="1"/>
    <col min="14596" max="14596" width="18.5703125" style="1" customWidth="1"/>
    <col min="14597" max="14597" width="10" style="1" customWidth="1"/>
    <col min="14598" max="14598" width="10.28515625" style="1" customWidth="1"/>
    <col min="14599" max="14603" width="8.28515625" style="1" customWidth="1"/>
    <col min="14604" max="14604" width="10.28515625" style="1" customWidth="1"/>
    <col min="14605" max="14605" width="8.28515625" style="1" customWidth="1"/>
    <col min="14606" max="14606" width="18.28515625" style="1" customWidth="1"/>
    <col min="14607" max="14607" width="6" style="1" customWidth="1"/>
    <col min="14608" max="14609" width="5.42578125" style="1" customWidth="1"/>
    <col min="14610" max="14610" width="5.5703125" style="1" customWidth="1"/>
    <col min="14611" max="14611" width="5.140625" style="1" customWidth="1"/>
    <col min="14612" max="14612" width="5.42578125" style="1" customWidth="1"/>
    <col min="14613" max="14614" width="5.140625" style="1" customWidth="1"/>
    <col min="14615" max="14615" width="5.42578125" style="1" customWidth="1"/>
    <col min="14616" max="14616" width="5.140625" style="1" customWidth="1"/>
    <col min="14617" max="14617" width="5" style="1" customWidth="1"/>
    <col min="14618" max="14618" width="5.42578125" style="1" customWidth="1"/>
    <col min="14619" max="14619" width="9.5703125" style="1" customWidth="1"/>
    <col min="14620" max="14620" width="6.85546875" style="1" customWidth="1"/>
    <col min="14621" max="14621" width="5.140625" style="1" customWidth="1"/>
    <col min="14622" max="14622" width="18.140625" style="1" customWidth="1"/>
    <col min="14623" max="14640" width="5.7109375" style="1" customWidth="1"/>
    <col min="14641" max="14641" width="7.5703125" style="1" customWidth="1"/>
    <col min="14642" max="14642" width="7.28515625" style="1" customWidth="1"/>
    <col min="14643" max="14644" width="5.7109375" style="1" customWidth="1"/>
    <col min="14645" max="14645" width="18.140625" style="1" customWidth="1"/>
    <col min="14646" max="14660" width="5.7109375" style="1" customWidth="1"/>
    <col min="14661" max="14661" width="6.42578125" style="1" customWidth="1"/>
    <col min="14662" max="14662" width="7.42578125" style="1" customWidth="1"/>
    <col min="14663" max="14675" width="5.7109375" style="1" customWidth="1"/>
    <col min="14676" max="14676" width="6.5703125" style="1" customWidth="1"/>
    <col min="14677" max="14677" width="7.5703125" style="1" customWidth="1"/>
    <col min="14678" max="14678" width="6.5703125" style="1" customWidth="1"/>
    <col min="14679" max="14679" width="18.28515625" style="1" customWidth="1"/>
    <col min="14680" max="14850" width="8.42578125" style="1"/>
    <col min="14851" max="14851" width="10.85546875" style="1" customWidth="1"/>
    <col min="14852" max="14852" width="18.5703125" style="1" customWidth="1"/>
    <col min="14853" max="14853" width="10" style="1" customWidth="1"/>
    <col min="14854" max="14854" width="10.28515625" style="1" customWidth="1"/>
    <col min="14855" max="14859" width="8.28515625" style="1" customWidth="1"/>
    <col min="14860" max="14860" width="10.28515625" style="1" customWidth="1"/>
    <col min="14861" max="14861" width="8.28515625" style="1" customWidth="1"/>
    <col min="14862" max="14862" width="18.28515625" style="1" customWidth="1"/>
    <col min="14863" max="14863" width="6" style="1" customWidth="1"/>
    <col min="14864" max="14865" width="5.42578125" style="1" customWidth="1"/>
    <col min="14866" max="14866" width="5.5703125" style="1" customWidth="1"/>
    <col min="14867" max="14867" width="5.140625" style="1" customWidth="1"/>
    <col min="14868" max="14868" width="5.42578125" style="1" customWidth="1"/>
    <col min="14869" max="14870" width="5.140625" style="1" customWidth="1"/>
    <col min="14871" max="14871" width="5.42578125" style="1" customWidth="1"/>
    <col min="14872" max="14872" width="5.140625" style="1" customWidth="1"/>
    <col min="14873" max="14873" width="5" style="1" customWidth="1"/>
    <col min="14874" max="14874" width="5.42578125" style="1" customWidth="1"/>
    <col min="14875" max="14875" width="9.5703125" style="1" customWidth="1"/>
    <col min="14876" max="14876" width="6.85546875" style="1" customWidth="1"/>
    <col min="14877" max="14877" width="5.140625" style="1" customWidth="1"/>
    <col min="14878" max="14878" width="18.140625" style="1" customWidth="1"/>
    <col min="14879" max="14896" width="5.7109375" style="1" customWidth="1"/>
    <col min="14897" max="14897" width="7.5703125" style="1" customWidth="1"/>
    <col min="14898" max="14898" width="7.28515625" style="1" customWidth="1"/>
    <col min="14899" max="14900" width="5.7109375" style="1" customWidth="1"/>
    <col min="14901" max="14901" width="18.140625" style="1" customWidth="1"/>
    <col min="14902" max="14916" width="5.7109375" style="1" customWidth="1"/>
    <col min="14917" max="14917" width="6.42578125" style="1" customWidth="1"/>
    <col min="14918" max="14918" width="7.42578125" style="1" customWidth="1"/>
    <col min="14919" max="14931" width="5.7109375" style="1" customWidth="1"/>
    <col min="14932" max="14932" width="6.5703125" style="1" customWidth="1"/>
    <col min="14933" max="14933" width="7.5703125" style="1" customWidth="1"/>
    <col min="14934" max="14934" width="6.5703125" style="1" customWidth="1"/>
    <col min="14935" max="14935" width="18.28515625" style="1" customWidth="1"/>
    <col min="14936" max="15106" width="8.42578125" style="1"/>
    <col min="15107" max="15107" width="10.85546875" style="1" customWidth="1"/>
    <col min="15108" max="15108" width="18.5703125" style="1" customWidth="1"/>
    <col min="15109" max="15109" width="10" style="1" customWidth="1"/>
    <col min="15110" max="15110" width="10.28515625" style="1" customWidth="1"/>
    <col min="15111" max="15115" width="8.28515625" style="1" customWidth="1"/>
    <col min="15116" max="15116" width="10.28515625" style="1" customWidth="1"/>
    <col min="15117" max="15117" width="8.28515625" style="1" customWidth="1"/>
    <col min="15118" max="15118" width="18.28515625" style="1" customWidth="1"/>
    <col min="15119" max="15119" width="6" style="1" customWidth="1"/>
    <col min="15120" max="15121" width="5.42578125" style="1" customWidth="1"/>
    <col min="15122" max="15122" width="5.5703125" style="1" customWidth="1"/>
    <col min="15123" max="15123" width="5.140625" style="1" customWidth="1"/>
    <col min="15124" max="15124" width="5.42578125" style="1" customWidth="1"/>
    <col min="15125" max="15126" width="5.140625" style="1" customWidth="1"/>
    <col min="15127" max="15127" width="5.42578125" style="1" customWidth="1"/>
    <col min="15128" max="15128" width="5.140625" style="1" customWidth="1"/>
    <col min="15129" max="15129" width="5" style="1" customWidth="1"/>
    <col min="15130" max="15130" width="5.42578125" style="1" customWidth="1"/>
    <col min="15131" max="15131" width="9.5703125" style="1" customWidth="1"/>
    <col min="15132" max="15132" width="6.85546875" style="1" customWidth="1"/>
    <col min="15133" max="15133" width="5.140625" style="1" customWidth="1"/>
    <col min="15134" max="15134" width="18.140625" style="1" customWidth="1"/>
    <col min="15135" max="15152" width="5.7109375" style="1" customWidth="1"/>
    <col min="15153" max="15153" width="7.5703125" style="1" customWidth="1"/>
    <col min="15154" max="15154" width="7.28515625" style="1" customWidth="1"/>
    <col min="15155" max="15156" width="5.7109375" style="1" customWidth="1"/>
    <col min="15157" max="15157" width="18.140625" style="1" customWidth="1"/>
    <col min="15158" max="15172" width="5.7109375" style="1" customWidth="1"/>
    <col min="15173" max="15173" width="6.42578125" style="1" customWidth="1"/>
    <col min="15174" max="15174" width="7.42578125" style="1" customWidth="1"/>
    <col min="15175" max="15187" width="5.7109375" style="1" customWidth="1"/>
    <col min="15188" max="15188" width="6.5703125" style="1" customWidth="1"/>
    <col min="15189" max="15189" width="7.5703125" style="1" customWidth="1"/>
    <col min="15190" max="15190" width="6.5703125" style="1" customWidth="1"/>
    <col min="15191" max="15191" width="18.28515625" style="1" customWidth="1"/>
    <col min="15192" max="15362" width="8.42578125" style="1"/>
    <col min="15363" max="15363" width="10.85546875" style="1" customWidth="1"/>
    <col min="15364" max="15364" width="18.5703125" style="1" customWidth="1"/>
    <col min="15365" max="15365" width="10" style="1" customWidth="1"/>
    <col min="15366" max="15366" width="10.28515625" style="1" customWidth="1"/>
    <col min="15367" max="15371" width="8.28515625" style="1" customWidth="1"/>
    <col min="15372" max="15372" width="10.28515625" style="1" customWidth="1"/>
    <col min="15373" max="15373" width="8.28515625" style="1" customWidth="1"/>
    <col min="15374" max="15374" width="18.28515625" style="1" customWidth="1"/>
    <col min="15375" max="15375" width="6" style="1" customWidth="1"/>
    <col min="15376" max="15377" width="5.42578125" style="1" customWidth="1"/>
    <col min="15378" max="15378" width="5.5703125" style="1" customWidth="1"/>
    <col min="15379" max="15379" width="5.140625" style="1" customWidth="1"/>
    <col min="15380" max="15380" width="5.42578125" style="1" customWidth="1"/>
    <col min="15381" max="15382" width="5.140625" style="1" customWidth="1"/>
    <col min="15383" max="15383" width="5.42578125" style="1" customWidth="1"/>
    <col min="15384" max="15384" width="5.140625" style="1" customWidth="1"/>
    <col min="15385" max="15385" width="5" style="1" customWidth="1"/>
    <col min="15386" max="15386" width="5.42578125" style="1" customWidth="1"/>
    <col min="15387" max="15387" width="9.5703125" style="1" customWidth="1"/>
    <col min="15388" max="15388" width="6.85546875" style="1" customWidth="1"/>
    <col min="15389" max="15389" width="5.140625" style="1" customWidth="1"/>
    <col min="15390" max="15390" width="18.140625" style="1" customWidth="1"/>
    <col min="15391" max="15408" width="5.7109375" style="1" customWidth="1"/>
    <col min="15409" max="15409" width="7.5703125" style="1" customWidth="1"/>
    <col min="15410" max="15410" width="7.28515625" style="1" customWidth="1"/>
    <col min="15411" max="15412" width="5.7109375" style="1" customWidth="1"/>
    <col min="15413" max="15413" width="18.140625" style="1" customWidth="1"/>
    <col min="15414" max="15428" width="5.7109375" style="1" customWidth="1"/>
    <col min="15429" max="15429" width="6.42578125" style="1" customWidth="1"/>
    <col min="15430" max="15430" width="7.42578125" style="1" customWidth="1"/>
    <col min="15431" max="15443" width="5.7109375" style="1" customWidth="1"/>
    <col min="15444" max="15444" width="6.5703125" style="1" customWidth="1"/>
    <col min="15445" max="15445" width="7.5703125" style="1" customWidth="1"/>
    <col min="15446" max="15446" width="6.5703125" style="1" customWidth="1"/>
    <col min="15447" max="15447" width="18.28515625" style="1" customWidth="1"/>
    <col min="15448" max="15618" width="8.42578125" style="1"/>
    <col min="15619" max="15619" width="10.85546875" style="1" customWidth="1"/>
    <col min="15620" max="15620" width="18.5703125" style="1" customWidth="1"/>
    <col min="15621" max="15621" width="10" style="1" customWidth="1"/>
    <col min="15622" max="15622" width="10.28515625" style="1" customWidth="1"/>
    <col min="15623" max="15627" width="8.28515625" style="1" customWidth="1"/>
    <col min="15628" max="15628" width="10.28515625" style="1" customWidth="1"/>
    <col min="15629" max="15629" width="8.28515625" style="1" customWidth="1"/>
    <col min="15630" max="15630" width="18.28515625" style="1" customWidth="1"/>
    <col min="15631" max="15631" width="6" style="1" customWidth="1"/>
    <col min="15632" max="15633" width="5.42578125" style="1" customWidth="1"/>
    <col min="15634" max="15634" width="5.5703125" style="1" customWidth="1"/>
    <col min="15635" max="15635" width="5.140625" style="1" customWidth="1"/>
    <col min="15636" max="15636" width="5.42578125" style="1" customWidth="1"/>
    <col min="15637" max="15638" width="5.140625" style="1" customWidth="1"/>
    <col min="15639" max="15639" width="5.42578125" style="1" customWidth="1"/>
    <col min="15640" max="15640" width="5.140625" style="1" customWidth="1"/>
    <col min="15641" max="15641" width="5" style="1" customWidth="1"/>
    <col min="15642" max="15642" width="5.42578125" style="1" customWidth="1"/>
    <col min="15643" max="15643" width="9.5703125" style="1" customWidth="1"/>
    <col min="15644" max="15644" width="6.85546875" style="1" customWidth="1"/>
    <col min="15645" max="15645" width="5.140625" style="1" customWidth="1"/>
    <col min="15646" max="15646" width="18.140625" style="1" customWidth="1"/>
    <col min="15647" max="15664" width="5.7109375" style="1" customWidth="1"/>
    <col min="15665" max="15665" width="7.5703125" style="1" customWidth="1"/>
    <col min="15666" max="15666" width="7.28515625" style="1" customWidth="1"/>
    <col min="15667" max="15668" width="5.7109375" style="1" customWidth="1"/>
    <col min="15669" max="15669" width="18.140625" style="1" customWidth="1"/>
    <col min="15670" max="15684" width="5.7109375" style="1" customWidth="1"/>
    <col min="15685" max="15685" width="6.42578125" style="1" customWidth="1"/>
    <col min="15686" max="15686" width="7.42578125" style="1" customWidth="1"/>
    <col min="15687" max="15699" width="5.7109375" style="1" customWidth="1"/>
    <col min="15700" max="15700" width="6.5703125" style="1" customWidth="1"/>
    <col min="15701" max="15701" width="7.5703125" style="1" customWidth="1"/>
    <col min="15702" max="15702" width="6.5703125" style="1" customWidth="1"/>
    <col min="15703" max="15703" width="18.28515625" style="1" customWidth="1"/>
    <col min="15704" max="15874" width="8.42578125" style="1"/>
    <col min="15875" max="15875" width="10.85546875" style="1" customWidth="1"/>
    <col min="15876" max="15876" width="18.5703125" style="1" customWidth="1"/>
    <col min="15877" max="15877" width="10" style="1" customWidth="1"/>
    <col min="15878" max="15878" width="10.28515625" style="1" customWidth="1"/>
    <col min="15879" max="15883" width="8.28515625" style="1" customWidth="1"/>
    <col min="15884" max="15884" width="10.28515625" style="1" customWidth="1"/>
    <col min="15885" max="15885" width="8.28515625" style="1" customWidth="1"/>
    <col min="15886" max="15886" width="18.28515625" style="1" customWidth="1"/>
    <col min="15887" max="15887" width="6" style="1" customWidth="1"/>
    <col min="15888" max="15889" width="5.42578125" style="1" customWidth="1"/>
    <col min="15890" max="15890" width="5.5703125" style="1" customWidth="1"/>
    <col min="15891" max="15891" width="5.140625" style="1" customWidth="1"/>
    <col min="15892" max="15892" width="5.42578125" style="1" customWidth="1"/>
    <col min="15893" max="15894" width="5.140625" style="1" customWidth="1"/>
    <col min="15895" max="15895" width="5.42578125" style="1" customWidth="1"/>
    <col min="15896" max="15896" width="5.140625" style="1" customWidth="1"/>
    <col min="15897" max="15897" width="5" style="1" customWidth="1"/>
    <col min="15898" max="15898" width="5.42578125" style="1" customWidth="1"/>
    <col min="15899" max="15899" width="9.5703125" style="1" customWidth="1"/>
    <col min="15900" max="15900" width="6.85546875" style="1" customWidth="1"/>
    <col min="15901" max="15901" width="5.140625" style="1" customWidth="1"/>
    <col min="15902" max="15902" width="18.140625" style="1" customWidth="1"/>
    <col min="15903" max="15920" width="5.7109375" style="1" customWidth="1"/>
    <col min="15921" max="15921" width="7.5703125" style="1" customWidth="1"/>
    <col min="15922" max="15922" width="7.28515625" style="1" customWidth="1"/>
    <col min="15923" max="15924" width="5.7109375" style="1" customWidth="1"/>
    <col min="15925" max="15925" width="18.140625" style="1" customWidth="1"/>
    <col min="15926" max="15940" width="5.7109375" style="1" customWidth="1"/>
    <col min="15941" max="15941" width="6.42578125" style="1" customWidth="1"/>
    <col min="15942" max="15942" width="7.42578125" style="1" customWidth="1"/>
    <col min="15943" max="15955" width="5.7109375" style="1" customWidth="1"/>
    <col min="15956" max="15956" width="6.5703125" style="1" customWidth="1"/>
    <col min="15957" max="15957" width="7.5703125" style="1" customWidth="1"/>
    <col min="15958" max="15958" width="6.5703125" style="1" customWidth="1"/>
    <col min="15959" max="15959" width="18.28515625" style="1" customWidth="1"/>
    <col min="15960" max="16130" width="8.42578125" style="1"/>
    <col min="16131" max="16131" width="10.85546875" style="1" customWidth="1"/>
    <col min="16132" max="16132" width="18.5703125" style="1" customWidth="1"/>
    <col min="16133" max="16133" width="10" style="1" customWidth="1"/>
    <col min="16134" max="16134" width="10.28515625" style="1" customWidth="1"/>
    <col min="16135" max="16139" width="8.28515625" style="1" customWidth="1"/>
    <col min="16140" max="16140" width="10.28515625" style="1" customWidth="1"/>
    <col min="16141" max="16141" width="8.28515625" style="1" customWidth="1"/>
    <col min="16142" max="16142" width="18.28515625" style="1" customWidth="1"/>
    <col min="16143" max="16143" width="6" style="1" customWidth="1"/>
    <col min="16144" max="16145" width="5.42578125" style="1" customWidth="1"/>
    <col min="16146" max="16146" width="5.5703125" style="1" customWidth="1"/>
    <col min="16147" max="16147" width="5.140625" style="1" customWidth="1"/>
    <col min="16148" max="16148" width="5.42578125" style="1" customWidth="1"/>
    <col min="16149" max="16150" width="5.140625" style="1" customWidth="1"/>
    <col min="16151" max="16151" width="5.42578125" style="1" customWidth="1"/>
    <col min="16152" max="16152" width="5.140625" style="1" customWidth="1"/>
    <col min="16153" max="16153" width="5" style="1" customWidth="1"/>
    <col min="16154" max="16154" width="5.42578125" style="1" customWidth="1"/>
    <col min="16155" max="16155" width="9.5703125" style="1" customWidth="1"/>
    <col min="16156" max="16156" width="6.85546875" style="1" customWidth="1"/>
    <col min="16157" max="16157" width="5.140625" style="1" customWidth="1"/>
    <col min="16158" max="16158" width="18.140625" style="1" customWidth="1"/>
    <col min="16159" max="16176" width="5.7109375" style="1" customWidth="1"/>
    <col min="16177" max="16177" width="7.5703125" style="1" customWidth="1"/>
    <col min="16178" max="16178" width="7.28515625" style="1" customWidth="1"/>
    <col min="16179" max="16180" width="5.7109375" style="1" customWidth="1"/>
    <col min="16181" max="16181" width="18.140625" style="1" customWidth="1"/>
    <col min="16182" max="16196" width="5.7109375" style="1" customWidth="1"/>
    <col min="16197" max="16197" width="6.42578125" style="1" customWidth="1"/>
    <col min="16198" max="16198" width="7.42578125" style="1" customWidth="1"/>
    <col min="16199" max="16211" width="5.7109375" style="1" customWidth="1"/>
    <col min="16212" max="16212" width="6.5703125" style="1" customWidth="1"/>
    <col min="16213" max="16213" width="7.5703125" style="1" customWidth="1"/>
    <col min="16214" max="16214" width="6.5703125" style="1" customWidth="1"/>
    <col min="16215" max="16215" width="18.28515625" style="1" customWidth="1"/>
    <col min="16216" max="16384" width="8.42578125" style="1"/>
  </cols>
  <sheetData>
    <row r="1" spans="1:95" ht="15" customHeight="1">
      <c r="A1" s="370" t="s">
        <v>380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64" t="s">
        <v>199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 t="s">
        <v>384</v>
      </c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364"/>
      <c r="AO1" s="364"/>
      <c r="AP1" s="364"/>
      <c r="AQ1" s="364"/>
      <c r="AR1" s="364"/>
      <c r="AS1" s="364"/>
      <c r="AT1" s="364"/>
      <c r="AU1" s="364"/>
      <c r="AV1" s="364"/>
      <c r="AW1" s="364"/>
      <c r="AX1" s="364"/>
      <c r="AY1" s="235" t="s">
        <v>200</v>
      </c>
      <c r="AZ1" s="105" t="s">
        <v>71</v>
      </c>
      <c r="BA1" s="105"/>
      <c r="BB1" s="105"/>
      <c r="BC1" s="105"/>
      <c r="BD1" s="105"/>
      <c r="BE1" s="62"/>
      <c r="BF1" s="105" t="s">
        <v>70</v>
      </c>
      <c r="BG1" s="105"/>
      <c r="BH1" s="105"/>
      <c r="BI1" s="105"/>
      <c r="BJ1" s="105"/>
      <c r="BK1" s="105"/>
      <c r="BL1" s="105"/>
      <c r="BM1" s="105"/>
      <c r="BN1" s="62"/>
      <c r="BO1" s="63"/>
      <c r="BP1" s="63"/>
      <c r="BQ1" s="62"/>
      <c r="BR1" s="63"/>
      <c r="BS1" s="364" t="s">
        <v>385</v>
      </c>
      <c r="BT1" s="364"/>
      <c r="BU1" s="364"/>
      <c r="BV1" s="364"/>
      <c r="BW1" s="364"/>
      <c r="BX1" s="364"/>
      <c r="BY1" s="364"/>
      <c r="BZ1" s="364"/>
      <c r="CA1" s="364"/>
      <c r="CB1" s="364"/>
      <c r="CC1" s="364"/>
      <c r="CD1" s="364"/>
      <c r="CE1" s="364"/>
      <c r="CF1" s="364"/>
      <c r="CG1" s="364"/>
      <c r="CH1" s="364"/>
      <c r="CI1" s="364"/>
      <c r="CJ1" s="243"/>
      <c r="CK1" s="243"/>
      <c r="CL1" s="243"/>
      <c r="CM1" s="243"/>
      <c r="CN1" s="243"/>
      <c r="CO1" s="243"/>
      <c r="CP1" s="243"/>
      <c r="CQ1" s="216"/>
    </row>
    <row r="2" spans="1:95">
      <c r="A2" s="3" t="s">
        <v>68</v>
      </c>
      <c r="B2" s="62" t="s">
        <v>34</v>
      </c>
      <c r="C2" s="108" t="s">
        <v>67</v>
      </c>
      <c r="D2" s="108" t="s">
        <v>201</v>
      </c>
      <c r="E2" s="89" t="s">
        <v>65</v>
      </c>
      <c r="F2" s="89" t="s">
        <v>64</v>
      </c>
      <c r="G2" s="89" t="s">
        <v>63</v>
      </c>
      <c r="H2" s="89" t="s">
        <v>62</v>
      </c>
      <c r="I2" s="89" t="s">
        <v>61</v>
      </c>
      <c r="J2" s="89" t="s">
        <v>60</v>
      </c>
      <c r="K2" s="89" t="s">
        <v>59</v>
      </c>
      <c r="L2" s="62" t="s">
        <v>34</v>
      </c>
      <c r="M2" s="93" t="s">
        <v>58</v>
      </c>
      <c r="N2" s="109"/>
      <c r="O2" s="83"/>
      <c r="P2" s="93" t="s">
        <v>57</v>
      </c>
      <c r="Q2" s="109"/>
      <c r="R2" s="83"/>
      <c r="S2" s="93" t="s">
        <v>202</v>
      </c>
      <c r="T2" s="109"/>
      <c r="U2" s="83"/>
      <c r="V2" s="93" t="s">
        <v>181</v>
      </c>
      <c r="W2" s="109"/>
      <c r="X2" s="83"/>
      <c r="Y2" s="45" t="s">
        <v>35</v>
      </c>
      <c r="Z2" s="45" t="s">
        <v>36</v>
      </c>
      <c r="AA2" s="87"/>
      <c r="AB2" s="32" t="s">
        <v>34</v>
      </c>
      <c r="AC2" s="93" t="s">
        <v>182</v>
      </c>
      <c r="AD2" s="109"/>
      <c r="AE2" s="83"/>
      <c r="AF2" s="93" t="s">
        <v>203</v>
      </c>
      <c r="AG2" s="109"/>
      <c r="AH2" s="83"/>
      <c r="AI2" s="93" t="s">
        <v>104</v>
      </c>
      <c r="AJ2" s="109"/>
      <c r="AK2" s="83"/>
      <c r="AL2" s="93" t="s">
        <v>204</v>
      </c>
      <c r="AM2" s="109"/>
      <c r="AN2" s="83"/>
      <c r="AO2" s="93" t="s">
        <v>205</v>
      </c>
      <c r="AP2" s="109"/>
      <c r="AQ2" s="83"/>
      <c r="AR2" s="93" t="s">
        <v>107</v>
      </c>
      <c r="AS2" s="109"/>
      <c r="AT2" s="83"/>
      <c r="AU2" s="62" t="s">
        <v>35</v>
      </c>
      <c r="AV2" s="45" t="s">
        <v>36</v>
      </c>
      <c r="AW2" s="45" t="s">
        <v>47</v>
      </c>
      <c r="AX2" s="45"/>
      <c r="AY2" s="32" t="s">
        <v>34</v>
      </c>
      <c r="AZ2" s="135" t="s">
        <v>46</v>
      </c>
      <c r="BA2" s="85"/>
      <c r="BB2" s="84"/>
      <c r="BC2" s="135" t="s">
        <v>108</v>
      </c>
      <c r="BD2" s="85"/>
      <c r="BE2" s="84"/>
      <c r="BF2" s="86" t="s">
        <v>44</v>
      </c>
      <c r="BG2" s="85"/>
      <c r="BH2" s="84"/>
      <c r="BI2" s="86" t="s">
        <v>145</v>
      </c>
      <c r="BJ2" s="85"/>
      <c r="BK2" s="84"/>
      <c r="BL2" s="86" t="s">
        <v>42</v>
      </c>
      <c r="BM2" s="85"/>
      <c r="BN2" s="84"/>
      <c r="BO2" s="45" t="s">
        <v>35</v>
      </c>
      <c r="BP2" s="45" t="s">
        <v>36</v>
      </c>
      <c r="BQ2" s="45" t="s">
        <v>41</v>
      </c>
      <c r="BR2" s="87"/>
      <c r="BS2" s="86" t="s">
        <v>40</v>
      </c>
      <c r="BT2" s="85"/>
      <c r="BU2" s="84"/>
      <c r="BV2" s="86" t="s">
        <v>206</v>
      </c>
      <c r="BW2" s="85"/>
      <c r="BX2" s="84"/>
      <c r="BY2" s="86" t="s">
        <v>146</v>
      </c>
      <c r="BZ2" s="85"/>
      <c r="CA2" s="84"/>
      <c r="CB2" s="86" t="s">
        <v>147</v>
      </c>
      <c r="CC2" s="85"/>
      <c r="CD2" s="84"/>
      <c r="CE2" s="45" t="s">
        <v>35</v>
      </c>
      <c r="CF2" s="45" t="s">
        <v>36</v>
      </c>
      <c r="CG2" s="45" t="s">
        <v>35</v>
      </c>
      <c r="CH2" s="45"/>
      <c r="CI2" s="32" t="s">
        <v>34</v>
      </c>
      <c r="CJ2" s="216"/>
      <c r="CK2" s="216"/>
      <c r="CL2" s="216"/>
      <c r="CM2" s="216"/>
      <c r="CN2" s="216"/>
      <c r="CO2" s="216"/>
      <c r="CP2" s="216"/>
      <c r="CQ2" s="216"/>
    </row>
    <row r="3" spans="1:95">
      <c r="A3" s="3"/>
      <c r="B3" s="32" t="s">
        <v>207</v>
      </c>
      <c r="C3" s="48">
        <v>34065</v>
      </c>
      <c r="D3" s="47" t="s">
        <v>77</v>
      </c>
      <c r="E3" s="32">
        <v>174</v>
      </c>
      <c r="F3" s="32">
        <v>60</v>
      </c>
      <c r="G3" s="32">
        <v>75</v>
      </c>
      <c r="H3" s="136">
        <v>1.139</v>
      </c>
      <c r="I3" s="151">
        <f t="shared" ref="I3:I14" si="0">F3/(E3/100)^2</f>
        <v>19.817677368212443</v>
      </c>
      <c r="J3" s="10" t="s">
        <v>26</v>
      </c>
      <c r="K3" s="32">
        <f t="shared" ref="K3:K14" si="1">((E3-F3)*E3)/(H3*2*G3)</f>
        <v>116.10184372256366</v>
      </c>
      <c r="L3" s="32" t="s">
        <v>207</v>
      </c>
      <c r="M3" s="32">
        <v>238</v>
      </c>
      <c r="N3" s="40">
        <v>20</v>
      </c>
      <c r="O3" s="30">
        <f t="shared" ref="O3:O14" si="2">IF(M3=0,"",IF(M3&lt;190,2,IF(AND(M3&gt;=190,M3&lt;195),3,IF(AND(M3&gt;=195,M3&lt;200),4,IF(AND(M3&gt;=200),5)))))</f>
        <v>5</v>
      </c>
      <c r="P3" s="32">
        <v>4</v>
      </c>
      <c r="Q3" s="40">
        <v>19</v>
      </c>
      <c r="R3" s="30">
        <f t="shared" ref="R3:R14" si="3">IF(P3=0,"",IF(P3&gt;5.5,2,IF(AND(P3&lt;=5.5,P3&gt;5),3,IF(AND(P3&lt;=5,P3&gt;4.5),4,IF(AND(P3&lt;=4.5),5)))))</f>
        <v>5</v>
      </c>
      <c r="S3" s="32">
        <v>9</v>
      </c>
      <c r="T3" s="40">
        <v>20</v>
      </c>
      <c r="U3" s="30">
        <f t="shared" ref="U3:U14" si="4">IF(S3=0,"",IF(S3&gt;10.5,2,IF(AND(S3&lt;=10.5,S3&gt;10.2),3,IF(AND(S3&lt;=10.2,S3&gt;9.9),4,IF(AND(S3&lt;=9.9),5)))))</f>
        <v>5</v>
      </c>
      <c r="V3" s="32">
        <v>1600</v>
      </c>
      <c r="W3" s="40">
        <v>20</v>
      </c>
      <c r="X3" s="30">
        <f t="shared" ref="X3:X14" si="5">IF(V3=0,"",IF(V3&lt;1190,2,IF(AND(V3&gt;=1190,V3&lt;1290),3,IF(AND(V3&gt;=1290,V3&lt;1400),4,IF(AND(V3&gt;=1400),5)))))</f>
        <v>5</v>
      </c>
      <c r="Y3" s="40">
        <f t="shared" ref="Y3:Y14" si="6">SUM(N3,Q3,T3,W3)</f>
        <v>79</v>
      </c>
      <c r="Z3" s="30">
        <f t="shared" ref="Z3:Z14" si="7">IF(Y3=0,"",IF(Y3&lt;4,2,IF(AND(Y3&gt;=4,Y3&lt;16),3,IF(AND(Y3&gt;=16,Y3&lt;30),4,IF(AND(Y3&gt;=30),5)))))</f>
        <v>5</v>
      </c>
      <c r="AA3" s="223">
        <v>5</v>
      </c>
      <c r="AB3" s="32" t="s">
        <v>207</v>
      </c>
      <c r="AC3" s="32">
        <v>44</v>
      </c>
      <c r="AD3" s="40">
        <v>5</v>
      </c>
      <c r="AE3" s="30">
        <f t="shared" ref="AE3:AE14" si="8">IF(AC3=0,"",IF(AC3&lt;35,2,IF(AND(AC3&gt;=35,AC3&lt;43),3,IF(AND(AC3&gt;=43,AC3&lt;50),4,IF(AND(AC3&gt;=50),5)))))</f>
        <v>4</v>
      </c>
      <c r="AF3" s="45">
        <v>14</v>
      </c>
      <c r="AG3" s="66">
        <v>16</v>
      </c>
      <c r="AH3" s="30">
        <f t="shared" ref="AH3:AH14" si="9">IF(AF3=0,"",IF(AF3&lt;6,2,IF(AND(AF3&gt;=6,AF3&lt;9),3,IF(AND(AF3&gt;=9,AF3&lt;11),4,IF(AND(AF3&gt;=11),5)))))</f>
        <v>5</v>
      </c>
      <c r="AI3" s="45">
        <v>144</v>
      </c>
      <c r="AJ3" s="66">
        <v>14</v>
      </c>
      <c r="AK3" s="30">
        <f t="shared" ref="AK3:AK14" si="10">IF(AI3=0,"",IF(AI3&lt;110,2,IF(AND(AI3&gt;=110,AI3&lt;120),3,IF(AND(AI3&gt;=120,AI3&lt;130),4,IF(AND(AI3&gt;=130),5)))))</f>
        <v>5</v>
      </c>
      <c r="AL3" s="45">
        <v>14</v>
      </c>
      <c r="AM3" s="66">
        <v>16</v>
      </c>
      <c r="AN3" s="30">
        <f t="shared" ref="AN3:AN14" si="11">IF(AL3=0,"",IF(AL3&lt;7,2,IF(AND(AL3&gt;=7,AL3&lt;8),3,IF(AND(AL3&gt;=8,AL3&lt;10),4,IF(AND(AL3&gt;=10),5)))))</f>
        <v>5</v>
      </c>
      <c r="AO3" s="45">
        <v>19</v>
      </c>
      <c r="AP3" s="66">
        <v>19</v>
      </c>
      <c r="AQ3" s="30">
        <f t="shared" ref="AQ3:AQ14" si="12">IF(AO3=0,"",IF(AO3&lt;1,2,IF(AND(AO3&gt;=1,AO3&lt;5),3,IF(AND(AO3&gt;=5,AO3&lt;10),4,IF(AND(AO3&gt;=10),5)))))</f>
        <v>5</v>
      </c>
      <c r="AR3" s="45">
        <v>10</v>
      </c>
      <c r="AS3" s="66">
        <v>10</v>
      </c>
      <c r="AT3" s="30">
        <f t="shared" ref="AT3:AT14" si="13">IF(AR3=0,"",IF(AR3&lt;1,2,IF(AND(AR3&gt;=1,AR3&lt;5),3,IF(AND(AR3&gt;=5,AR3&lt;10),4,IF(AND(AR3&gt;=10),5)))))</f>
        <v>5</v>
      </c>
      <c r="AU3" s="40">
        <f t="shared" ref="AU3:AU14" si="14">SUM(AD3,AG3,AJ3,AM3,AP3,AS3)</f>
        <v>80</v>
      </c>
      <c r="AV3" s="30">
        <f t="shared" ref="AV3:AV14" si="15">IF(AU3=0,"",IF(AU3&lt;6,2,IF(AND(AU3&gt;=6,AU3&lt;20),3,IF(AND(AU3&gt;=20,AU3&lt;46),4,IF(AND(AU3&gt;=46),5)))))</f>
        <v>5</v>
      </c>
      <c r="AW3" s="40">
        <f t="shared" ref="AW3:AW14" si="16">SUM(Y3,AU3)</f>
        <v>159</v>
      </c>
      <c r="AX3" s="41"/>
      <c r="AY3" s="32" t="s">
        <v>207</v>
      </c>
      <c r="AZ3" s="31"/>
      <c r="BA3" s="344"/>
      <c r="BB3" s="30">
        <v>4</v>
      </c>
      <c r="BC3" s="31"/>
      <c r="BD3" s="344"/>
      <c r="BE3" s="30">
        <v>4</v>
      </c>
      <c r="BF3" s="31">
        <v>20</v>
      </c>
      <c r="BG3" s="344">
        <v>20</v>
      </c>
      <c r="BH3" s="30">
        <f t="shared" ref="BH3:BH14" si="17">IF(BF3=0,"",IF(BF3&lt;6,2,IF(AND(BF3&gt;=6,BF3&lt;8),3,IF(AND(BF3&gt;=8,BF3&lt;10),4,IF(AND(BF3&gt;=10),5)))))</f>
        <v>5</v>
      </c>
      <c r="BI3" s="31">
        <v>12.4</v>
      </c>
      <c r="BJ3" s="344">
        <v>8</v>
      </c>
      <c r="BK3" s="30">
        <f t="shared" ref="BK3:BK14" si="18">IF(BI3=0,"",IF(BI3&gt;14.2,2,IF(AND(BI3&lt;=14.2,BI3&gt;13),3,IF(AND(BI3&lt;=13,BI3&gt;12),4,IF(AND(BI3&lt;=12),5)))))</f>
        <v>4</v>
      </c>
      <c r="BL3" s="31">
        <v>8</v>
      </c>
      <c r="BM3" s="344">
        <v>10</v>
      </c>
      <c r="BN3" s="30">
        <f t="shared" ref="BN3:BN14" si="19">IF(BL3=0,"",IF(BL3&lt;4,2,IF(AND(BL3&gt;=4,BL3&lt;6),3,IF(AND(BL3&gt;=6,BL3&lt;8),4,IF(AND(BL3&gt;=8),5)))))</f>
        <v>5</v>
      </c>
      <c r="BO3" s="40">
        <f t="shared" ref="BO3:BO14" si="20">SUM(BA3,BD3,BG3,BJ3,BM3)</f>
        <v>38</v>
      </c>
      <c r="BP3" s="30">
        <f t="shared" ref="BP3:BP14" si="21">IF(BO3=0,"",IF(BO3&lt;5,2,IF(AND(BO3&gt;=5,BO3&lt;17),3,IF(AND(BO3&gt;=17,BO3&lt;40),4,IF(AND(BO3&gt;=40),5)))))</f>
        <v>4</v>
      </c>
      <c r="BQ3" s="40">
        <f t="shared" ref="BQ3:BQ14" si="22">SUM(AW3,BO3)</f>
        <v>197</v>
      </c>
      <c r="BR3" s="41"/>
      <c r="BS3" s="31">
        <v>7.2</v>
      </c>
      <c r="BT3" s="344">
        <v>20</v>
      </c>
      <c r="BU3" s="30">
        <f t="shared" ref="BU3:BU14" si="23">IF(BS3=0,"",IF(BS3&gt;10,2,IF(AND(BS3&lt;=10,BS3&gt;9.2),3,IF(AND(BS3&lt;=9.2,BS3&gt;8.4),4,IF(AND(BS3&lt;=8.4),5)))))</f>
        <v>5</v>
      </c>
      <c r="BV3" s="31">
        <v>10</v>
      </c>
      <c r="BW3" s="344">
        <v>5</v>
      </c>
      <c r="BX3" s="30">
        <f t="shared" ref="BX3:BX14" si="24">IF(BV3=0,"",IF(BV3&gt;11,2,IF(AND(BV3&lt;=11,BV3&gt;10),3,IF(AND(BV3&lt;=10,BV3&gt;9.2),4,IF(AND(BV3&lt;=9.2),5)))))</f>
        <v>4</v>
      </c>
      <c r="BY3" s="31">
        <v>47</v>
      </c>
      <c r="BZ3" s="344">
        <v>12</v>
      </c>
      <c r="CA3" s="30">
        <f t="shared" ref="CA3:CA14" si="25">IF(BY3=0,"",IF(BY3&lt;31,2,IF(AND(BY3&gt;=31,BY3&lt;40),3,IF(AND(BY3&gt;=40,BY3&lt;45),4,IF(AND(BY3&gt;=45),5)))))</f>
        <v>5</v>
      </c>
      <c r="CB3" s="31">
        <v>31</v>
      </c>
      <c r="CC3" s="344">
        <v>17</v>
      </c>
      <c r="CD3" s="349">
        <f t="shared" ref="CD3:CD14" si="26">IF(CB3=0,"",IF(CB3&lt;7,2,IF(AND(CB3&gt;=7,CB3&lt;15),3,IF(AND(CB3&gt;=15,CB3&lt;22),4,IF(AND(CB3&gt;=22),5)))))</f>
        <v>5</v>
      </c>
      <c r="CE3" s="40">
        <f t="shared" ref="CE3:CE14" si="27">SUM(BT3,BW3,BZ3,CC3)</f>
        <v>54</v>
      </c>
      <c r="CF3" s="30">
        <f t="shared" ref="CF3:CF14" si="28">IF(CE3=0,"",IF(CE3&lt;4,2,IF(AND(CE3&gt;=4,CE3&lt;16),3,IF(AND(CE3&gt;=16,CE3&lt;30),4,IF(AND(CE3&gt;=30),5)))))</f>
        <v>5</v>
      </c>
      <c r="CG3" s="40">
        <f t="shared" ref="CG3:CG14" si="29">SUM(BQ3,CE3)</f>
        <v>251</v>
      </c>
      <c r="CH3" s="41"/>
      <c r="CI3" s="32" t="s">
        <v>207</v>
      </c>
    </row>
    <row r="4" spans="1:95">
      <c r="A4" s="3"/>
      <c r="B4" s="32" t="s">
        <v>208</v>
      </c>
      <c r="C4" s="48">
        <v>34142</v>
      </c>
      <c r="D4" s="47" t="s">
        <v>209</v>
      </c>
      <c r="E4" s="32">
        <v>180</v>
      </c>
      <c r="F4" s="32">
        <v>70</v>
      </c>
      <c r="G4" s="32">
        <v>83</v>
      </c>
      <c r="H4" s="136">
        <v>1.139</v>
      </c>
      <c r="I4" s="151">
        <f t="shared" si="0"/>
        <v>21.604938271604937</v>
      </c>
      <c r="J4" s="43" t="s">
        <v>24</v>
      </c>
      <c r="K4" s="32">
        <f t="shared" si="1"/>
        <v>104.72090292689634</v>
      </c>
      <c r="L4" s="32" t="s">
        <v>208</v>
      </c>
      <c r="M4" s="32">
        <v>222</v>
      </c>
      <c r="N4" s="40">
        <v>20</v>
      </c>
      <c r="O4" s="30">
        <f t="shared" si="2"/>
        <v>5</v>
      </c>
      <c r="P4" s="32">
        <v>4.2</v>
      </c>
      <c r="Q4" s="40">
        <v>16</v>
      </c>
      <c r="R4" s="30">
        <f t="shared" si="3"/>
        <v>5</v>
      </c>
      <c r="S4" s="32">
        <v>9.1999999999999993</v>
      </c>
      <c r="T4" s="40">
        <v>18</v>
      </c>
      <c r="U4" s="30">
        <f t="shared" si="4"/>
        <v>5</v>
      </c>
      <c r="V4" s="32">
        <v>1575</v>
      </c>
      <c r="W4" s="40">
        <v>20</v>
      </c>
      <c r="X4" s="30">
        <f t="shared" si="5"/>
        <v>5</v>
      </c>
      <c r="Y4" s="40">
        <f t="shared" si="6"/>
        <v>74</v>
      </c>
      <c r="Z4" s="30">
        <f t="shared" si="7"/>
        <v>5</v>
      </c>
      <c r="AA4" s="223">
        <v>5</v>
      </c>
      <c r="AB4" s="32" t="s">
        <v>208</v>
      </c>
      <c r="AC4" s="32">
        <v>57</v>
      </c>
      <c r="AD4" s="40">
        <v>20</v>
      </c>
      <c r="AE4" s="30">
        <f t="shared" si="8"/>
        <v>5</v>
      </c>
      <c r="AF4" s="32">
        <v>16</v>
      </c>
      <c r="AG4" s="40">
        <v>20</v>
      </c>
      <c r="AH4" s="30">
        <f t="shared" si="9"/>
        <v>5</v>
      </c>
      <c r="AI4" s="32">
        <v>141</v>
      </c>
      <c r="AJ4" s="40">
        <v>13</v>
      </c>
      <c r="AK4" s="30">
        <f t="shared" si="10"/>
        <v>5</v>
      </c>
      <c r="AL4" s="32">
        <v>3</v>
      </c>
      <c r="AM4" s="40">
        <v>0</v>
      </c>
      <c r="AN4" s="30">
        <f t="shared" si="11"/>
        <v>2</v>
      </c>
      <c r="AO4" s="32">
        <v>5</v>
      </c>
      <c r="AP4" s="40">
        <v>5</v>
      </c>
      <c r="AQ4" s="30">
        <f t="shared" si="12"/>
        <v>4</v>
      </c>
      <c r="AR4" s="32"/>
      <c r="AS4" s="40"/>
      <c r="AT4" s="30" t="str">
        <f t="shared" si="13"/>
        <v/>
      </c>
      <c r="AU4" s="40">
        <f t="shared" si="14"/>
        <v>58</v>
      </c>
      <c r="AV4" s="30">
        <f t="shared" si="15"/>
        <v>5</v>
      </c>
      <c r="AW4" s="40">
        <f t="shared" si="16"/>
        <v>132</v>
      </c>
      <c r="AX4" s="41"/>
      <c r="AY4" s="32" t="s">
        <v>208</v>
      </c>
      <c r="AZ4" s="31">
        <v>6.0600000000000005</v>
      </c>
      <c r="BA4" s="344">
        <v>10</v>
      </c>
      <c r="BB4" s="30">
        <v>5</v>
      </c>
      <c r="BC4" s="31">
        <v>12.14</v>
      </c>
      <c r="BD4" s="344">
        <v>10</v>
      </c>
      <c r="BE4" s="30">
        <v>5</v>
      </c>
      <c r="BF4" s="31">
        <v>7</v>
      </c>
      <c r="BG4" s="344">
        <v>3</v>
      </c>
      <c r="BH4" s="30">
        <f t="shared" si="17"/>
        <v>3</v>
      </c>
      <c r="BI4" s="31">
        <v>10.9</v>
      </c>
      <c r="BJ4" s="344">
        <v>15</v>
      </c>
      <c r="BK4" s="30">
        <f t="shared" si="18"/>
        <v>5</v>
      </c>
      <c r="BL4" s="31">
        <v>9</v>
      </c>
      <c r="BM4" s="344">
        <v>18</v>
      </c>
      <c r="BN4" s="30">
        <f t="shared" si="19"/>
        <v>5</v>
      </c>
      <c r="BO4" s="40">
        <f t="shared" si="20"/>
        <v>56</v>
      </c>
      <c r="BP4" s="30">
        <f t="shared" si="21"/>
        <v>5</v>
      </c>
      <c r="BQ4" s="40">
        <f t="shared" si="22"/>
        <v>188</v>
      </c>
      <c r="BR4" s="41"/>
      <c r="BS4" s="31">
        <v>8.1999999999999993</v>
      </c>
      <c r="BT4" s="344">
        <v>14</v>
      </c>
      <c r="BU4" s="30">
        <f t="shared" si="23"/>
        <v>5</v>
      </c>
      <c r="BV4" s="31">
        <v>9.1</v>
      </c>
      <c r="BW4" s="344">
        <v>11</v>
      </c>
      <c r="BX4" s="30">
        <f t="shared" si="24"/>
        <v>5</v>
      </c>
      <c r="BY4" s="31">
        <v>43</v>
      </c>
      <c r="BZ4" s="344">
        <v>8</v>
      </c>
      <c r="CA4" s="30">
        <f t="shared" si="25"/>
        <v>4</v>
      </c>
      <c r="CB4" s="31">
        <v>35</v>
      </c>
      <c r="CC4" s="344">
        <v>20</v>
      </c>
      <c r="CD4" s="349">
        <f t="shared" si="26"/>
        <v>5</v>
      </c>
      <c r="CE4" s="40">
        <f t="shared" si="27"/>
        <v>53</v>
      </c>
      <c r="CF4" s="30">
        <f t="shared" si="28"/>
        <v>5</v>
      </c>
      <c r="CG4" s="40">
        <f t="shared" si="29"/>
        <v>241</v>
      </c>
      <c r="CH4" s="41"/>
      <c r="CI4" s="32" t="s">
        <v>208</v>
      </c>
    </row>
    <row r="5" spans="1:95">
      <c r="A5" s="3"/>
      <c r="B5" s="32" t="s">
        <v>210</v>
      </c>
      <c r="C5" s="48">
        <v>34156</v>
      </c>
      <c r="D5" s="47" t="s">
        <v>77</v>
      </c>
      <c r="E5" s="32">
        <v>182</v>
      </c>
      <c r="F5" s="32">
        <v>63</v>
      </c>
      <c r="G5" s="32">
        <v>79</v>
      </c>
      <c r="H5" s="136">
        <v>1.139</v>
      </c>
      <c r="I5" s="151">
        <f t="shared" si="0"/>
        <v>19.019442096365172</v>
      </c>
      <c r="J5" s="10" t="s">
        <v>26</v>
      </c>
      <c r="K5" s="32">
        <f t="shared" si="1"/>
        <v>120.34762894388817</v>
      </c>
      <c r="L5" s="32" t="s">
        <v>210</v>
      </c>
      <c r="M5" s="32">
        <v>237</v>
      </c>
      <c r="N5" s="40">
        <v>20</v>
      </c>
      <c r="O5" s="30">
        <f t="shared" si="2"/>
        <v>5</v>
      </c>
      <c r="P5" s="32">
        <v>3.8000000000000003</v>
      </c>
      <c r="Q5" s="40">
        <v>20</v>
      </c>
      <c r="R5" s="30">
        <f t="shared" si="3"/>
        <v>5</v>
      </c>
      <c r="S5" s="32">
        <v>9</v>
      </c>
      <c r="T5" s="40">
        <v>20</v>
      </c>
      <c r="U5" s="30">
        <f t="shared" si="4"/>
        <v>5</v>
      </c>
      <c r="V5" s="32">
        <v>1550</v>
      </c>
      <c r="W5" s="40">
        <v>20</v>
      </c>
      <c r="X5" s="30">
        <f t="shared" si="5"/>
        <v>5</v>
      </c>
      <c r="Y5" s="40">
        <f t="shared" si="6"/>
        <v>80</v>
      </c>
      <c r="Z5" s="30">
        <f t="shared" si="7"/>
        <v>5</v>
      </c>
      <c r="AA5" s="223">
        <v>5</v>
      </c>
      <c r="AB5" s="32" t="s">
        <v>210</v>
      </c>
      <c r="AC5" s="32">
        <v>52</v>
      </c>
      <c r="AD5" s="40">
        <v>14</v>
      </c>
      <c r="AE5" s="30">
        <f t="shared" si="8"/>
        <v>5</v>
      </c>
      <c r="AF5" s="32">
        <v>17</v>
      </c>
      <c r="AG5" s="40">
        <v>20</v>
      </c>
      <c r="AH5" s="30">
        <f t="shared" si="9"/>
        <v>5</v>
      </c>
      <c r="AI5" s="32">
        <v>120</v>
      </c>
      <c r="AJ5" s="40">
        <v>8</v>
      </c>
      <c r="AK5" s="30">
        <f t="shared" si="10"/>
        <v>4</v>
      </c>
      <c r="AL5" s="32">
        <v>6</v>
      </c>
      <c r="AM5" s="40">
        <v>0</v>
      </c>
      <c r="AN5" s="30">
        <f t="shared" si="11"/>
        <v>2</v>
      </c>
      <c r="AO5" s="32">
        <v>5</v>
      </c>
      <c r="AP5" s="40">
        <v>5</v>
      </c>
      <c r="AQ5" s="30">
        <f t="shared" si="12"/>
        <v>4</v>
      </c>
      <c r="AR5" s="32">
        <v>10</v>
      </c>
      <c r="AS5" s="40">
        <v>10</v>
      </c>
      <c r="AT5" s="30">
        <f t="shared" si="13"/>
        <v>5</v>
      </c>
      <c r="AU5" s="40">
        <f t="shared" si="14"/>
        <v>57</v>
      </c>
      <c r="AV5" s="30">
        <f t="shared" si="15"/>
        <v>5</v>
      </c>
      <c r="AW5" s="40">
        <f t="shared" si="16"/>
        <v>137</v>
      </c>
      <c r="AX5" s="41"/>
      <c r="AY5" s="32" t="s">
        <v>210</v>
      </c>
      <c r="AZ5" s="31">
        <v>7.3100000000000005</v>
      </c>
      <c r="BA5" s="344">
        <v>0</v>
      </c>
      <c r="BB5" s="30">
        <v>2</v>
      </c>
      <c r="BC5" s="31">
        <v>16.309999999999999</v>
      </c>
      <c r="BD5" s="344">
        <v>0</v>
      </c>
      <c r="BE5" s="30">
        <v>2</v>
      </c>
      <c r="BF5" s="31">
        <v>9</v>
      </c>
      <c r="BG5" s="344">
        <v>7</v>
      </c>
      <c r="BH5" s="30">
        <f t="shared" si="17"/>
        <v>4</v>
      </c>
      <c r="BI5" s="31">
        <v>10.3</v>
      </c>
      <c r="BJ5" s="344">
        <v>20</v>
      </c>
      <c r="BK5" s="30">
        <f t="shared" si="18"/>
        <v>5</v>
      </c>
      <c r="BL5" s="31">
        <v>8</v>
      </c>
      <c r="BM5" s="344">
        <v>10</v>
      </c>
      <c r="BN5" s="30">
        <f t="shared" si="19"/>
        <v>5</v>
      </c>
      <c r="BO5" s="40">
        <f t="shared" si="20"/>
        <v>37</v>
      </c>
      <c r="BP5" s="30">
        <f t="shared" si="21"/>
        <v>4</v>
      </c>
      <c r="BQ5" s="40">
        <f t="shared" si="22"/>
        <v>174</v>
      </c>
      <c r="BR5" s="41"/>
      <c r="BS5" s="31">
        <v>7.6</v>
      </c>
      <c r="BT5" s="344">
        <v>20</v>
      </c>
      <c r="BU5" s="30">
        <f t="shared" si="23"/>
        <v>5</v>
      </c>
      <c r="BV5" s="31">
        <v>9.16</v>
      </c>
      <c r="BW5" s="344">
        <v>10</v>
      </c>
      <c r="BX5" s="30">
        <f t="shared" si="24"/>
        <v>5</v>
      </c>
      <c r="BY5" s="31">
        <v>45</v>
      </c>
      <c r="BZ5" s="344">
        <v>10</v>
      </c>
      <c r="CA5" s="30">
        <f t="shared" si="25"/>
        <v>5</v>
      </c>
      <c r="CB5" s="31">
        <v>35</v>
      </c>
      <c r="CC5" s="344">
        <v>20</v>
      </c>
      <c r="CD5" s="349">
        <f t="shared" si="26"/>
        <v>5</v>
      </c>
      <c r="CE5" s="40">
        <f t="shared" si="27"/>
        <v>60</v>
      </c>
      <c r="CF5" s="30">
        <f t="shared" si="28"/>
        <v>5</v>
      </c>
      <c r="CG5" s="40">
        <f t="shared" si="29"/>
        <v>234</v>
      </c>
      <c r="CH5" s="223">
        <v>5</v>
      </c>
      <c r="CI5" s="32" t="s">
        <v>210</v>
      </c>
    </row>
    <row r="6" spans="1:95">
      <c r="A6" s="3"/>
      <c r="B6" s="166" t="s">
        <v>211</v>
      </c>
      <c r="C6" s="48">
        <v>33976</v>
      </c>
      <c r="D6" s="47" t="s">
        <v>19</v>
      </c>
      <c r="E6" s="32">
        <v>173</v>
      </c>
      <c r="F6" s="32">
        <v>65</v>
      </c>
      <c r="G6" s="32">
        <v>85</v>
      </c>
      <c r="H6" s="136">
        <v>1.139</v>
      </c>
      <c r="I6" s="151">
        <f t="shared" si="0"/>
        <v>21.718066089745729</v>
      </c>
      <c r="J6" s="43" t="s">
        <v>24</v>
      </c>
      <c r="K6" s="32">
        <f t="shared" si="1"/>
        <v>96.493311986778906</v>
      </c>
      <c r="L6" s="166" t="s">
        <v>211</v>
      </c>
      <c r="M6" s="32">
        <v>224</v>
      </c>
      <c r="N6" s="40">
        <v>20</v>
      </c>
      <c r="O6" s="30">
        <f t="shared" si="2"/>
        <v>5</v>
      </c>
      <c r="P6" s="32">
        <v>3.9</v>
      </c>
      <c r="Q6" s="40">
        <v>20</v>
      </c>
      <c r="R6" s="30">
        <f t="shared" si="3"/>
        <v>5</v>
      </c>
      <c r="S6" s="32">
        <v>9.3000000000000007</v>
      </c>
      <c r="T6" s="40">
        <v>17</v>
      </c>
      <c r="U6" s="30">
        <f t="shared" si="4"/>
        <v>5</v>
      </c>
      <c r="V6" s="32">
        <v>1640</v>
      </c>
      <c r="W6" s="40">
        <v>20</v>
      </c>
      <c r="X6" s="30">
        <f t="shared" si="5"/>
        <v>5</v>
      </c>
      <c r="Y6" s="40">
        <f t="shared" si="6"/>
        <v>77</v>
      </c>
      <c r="Z6" s="30">
        <f t="shared" si="7"/>
        <v>5</v>
      </c>
      <c r="AA6" s="223">
        <v>5</v>
      </c>
      <c r="AB6" s="166" t="s">
        <v>211</v>
      </c>
      <c r="AC6" s="32">
        <v>50</v>
      </c>
      <c r="AD6" s="40">
        <v>10</v>
      </c>
      <c r="AE6" s="30">
        <f t="shared" si="8"/>
        <v>5</v>
      </c>
      <c r="AF6" s="32">
        <v>20</v>
      </c>
      <c r="AG6" s="40">
        <v>20</v>
      </c>
      <c r="AH6" s="30">
        <f t="shared" si="9"/>
        <v>5</v>
      </c>
      <c r="AI6" s="32">
        <v>151</v>
      </c>
      <c r="AJ6" s="40">
        <v>18</v>
      </c>
      <c r="AK6" s="30">
        <f t="shared" si="10"/>
        <v>5</v>
      </c>
      <c r="AL6" s="32">
        <v>15</v>
      </c>
      <c r="AM6" s="40">
        <v>17</v>
      </c>
      <c r="AN6" s="30">
        <f t="shared" si="11"/>
        <v>5</v>
      </c>
      <c r="AO6" s="32">
        <v>4</v>
      </c>
      <c r="AP6" s="40">
        <v>4</v>
      </c>
      <c r="AQ6" s="30">
        <f t="shared" si="12"/>
        <v>3</v>
      </c>
      <c r="AR6" s="32">
        <v>4</v>
      </c>
      <c r="AS6" s="40">
        <v>4</v>
      </c>
      <c r="AT6" s="30">
        <f t="shared" si="13"/>
        <v>3</v>
      </c>
      <c r="AU6" s="40">
        <f t="shared" si="14"/>
        <v>73</v>
      </c>
      <c r="AV6" s="30">
        <f t="shared" si="15"/>
        <v>5</v>
      </c>
      <c r="AW6" s="40">
        <f t="shared" si="16"/>
        <v>150</v>
      </c>
      <c r="AX6" s="41"/>
      <c r="AY6" s="166" t="s">
        <v>211</v>
      </c>
      <c r="AZ6" s="31">
        <v>7.3100000000000005</v>
      </c>
      <c r="BA6" s="344">
        <v>0</v>
      </c>
      <c r="BB6" s="30">
        <v>2</v>
      </c>
      <c r="BC6" s="31">
        <v>16.309999999999999</v>
      </c>
      <c r="BD6" s="344">
        <v>0</v>
      </c>
      <c r="BE6" s="30">
        <v>2</v>
      </c>
      <c r="BF6" s="31">
        <v>8</v>
      </c>
      <c r="BG6" s="344">
        <v>5</v>
      </c>
      <c r="BH6" s="30">
        <f t="shared" si="17"/>
        <v>4</v>
      </c>
      <c r="BI6" s="31">
        <v>12.3</v>
      </c>
      <c r="BJ6" s="344">
        <v>8</v>
      </c>
      <c r="BK6" s="30">
        <f t="shared" si="18"/>
        <v>4</v>
      </c>
      <c r="BL6" s="31">
        <v>6</v>
      </c>
      <c r="BM6" s="344">
        <v>5</v>
      </c>
      <c r="BN6" s="30">
        <f t="shared" si="19"/>
        <v>4</v>
      </c>
      <c r="BO6" s="40">
        <f t="shared" si="20"/>
        <v>18</v>
      </c>
      <c r="BP6" s="30">
        <f t="shared" si="21"/>
        <v>4</v>
      </c>
      <c r="BQ6" s="40">
        <f t="shared" si="22"/>
        <v>168</v>
      </c>
      <c r="BR6" s="41"/>
      <c r="BS6" s="31">
        <v>7.5</v>
      </c>
      <c r="BT6" s="344">
        <v>20</v>
      </c>
      <c r="BU6" s="30">
        <f t="shared" si="23"/>
        <v>5</v>
      </c>
      <c r="BV6" s="31">
        <v>8.44</v>
      </c>
      <c r="BW6" s="344">
        <v>13</v>
      </c>
      <c r="BX6" s="30">
        <f t="shared" si="24"/>
        <v>5</v>
      </c>
      <c r="BY6" s="31">
        <v>43</v>
      </c>
      <c r="BZ6" s="344">
        <v>8</v>
      </c>
      <c r="CA6" s="30">
        <f t="shared" si="25"/>
        <v>4</v>
      </c>
      <c r="CB6" s="31">
        <v>35</v>
      </c>
      <c r="CC6" s="344">
        <v>20</v>
      </c>
      <c r="CD6" s="349">
        <f t="shared" si="26"/>
        <v>5</v>
      </c>
      <c r="CE6" s="40">
        <f t="shared" si="27"/>
        <v>61</v>
      </c>
      <c r="CF6" s="30">
        <f t="shared" si="28"/>
        <v>5</v>
      </c>
      <c r="CG6" s="40">
        <f t="shared" si="29"/>
        <v>229</v>
      </c>
      <c r="CH6" s="41"/>
      <c r="CI6" s="166" t="s">
        <v>211</v>
      </c>
    </row>
    <row r="7" spans="1:95">
      <c r="A7" s="3"/>
      <c r="B7" s="32" t="s">
        <v>212</v>
      </c>
      <c r="C7" s="48">
        <v>34451</v>
      </c>
      <c r="D7" s="47" t="s">
        <v>19</v>
      </c>
      <c r="E7" s="32">
        <v>188</v>
      </c>
      <c r="F7" s="32">
        <v>68</v>
      </c>
      <c r="G7" s="32">
        <v>79</v>
      </c>
      <c r="H7" s="136">
        <v>1.1579999999999999</v>
      </c>
      <c r="I7" s="151">
        <f t="shared" si="0"/>
        <v>19.239474875509281</v>
      </c>
      <c r="J7" s="10" t="s">
        <v>26</v>
      </c>
      <c r="K7" s="32">
        <f t="shared" si="1"/>
        <v>123.30294484160818</v>
      </c>
      <c r="L7" s="32" t="s">
        <v>212</v>
      </c>
      <c r="M7" s="32">
        <v>224</v>
      </c>
      <c r="N7" s="40">
        <v>20</v>
      </c>
      <c r="O7" s="30">
        <f t="shared" si="2"/>
        <v>5</v>
      </c>
      <c r="P7" s="32">
        <v>4.7</v>
      </c>
      <c r="Q7" s="40">
        <v>8</v>
      </c>
      <c r="R7" s="30">
        <f t="shared" si="3"/>
        <v>4</v>
      </c>
      <c r="S7" s="32">
        <v>9.8000000000000007</v>
      </c>
      <c r="T7" s="40">
        <v>12</v>
      </c>
      <c r="U7" s="30">
        <f t="shared" si="4"/>
        <v>5</v>
      </c>
      <c r="V7" s="32">
        <v>1500</v>
      </c>
      <c r="W7" s="40">
        <v>20</v>
      </c>
      <c r="X7" s="30">
        <f t="shared" si="5"/>
        <v>5</v>
      </c>
      <c r="Y7" s="40">
        <f t="shared" si="6"/>
        <v>60</v>
      </c>
      <c r="Z7" s="30">
        <f t="shared" si="7"/>
        <v>5</v>
      </c>
      <c r="AA7" s="41"/>
      <c r="AB7" s="32" t="s">
        <v>212</v>
      </c>
      <c r="AC7" s="32">
        <v>50</v>
      </c>
      <c r="AD7" s="40">
        <v>10</v>
      </c>
      <c r="AE7" s="30">
        <f t="shared" si="8"/>
        <v>5</v>
      </c>
      <c r="AF7" s="32">
        <v>17</v>
      </c>
      <c r="AG7" s="40">
        <v>20</v>
      </c>
      <c r="AH7" s="30">
        <f t="shared" si="9"/>
        <v>5</v>
      </c>
      <c r="AI7" s="32">
        <v>125</v>
      </c>
      <c r="AJ7" s="40">
        <v>7</v>
      </c>
      <c r="AK7" s="30">
        <f t="shared" si="10"/>
        <v>4</v>
      </c>
      <c r="AL7" s="32">
        <v>9</v>
      </c>
      <c r="AM7" s="40">
        <v>8</v>
      </c>
      <c r="AN7" s="30">
        <f t="shared" si="11"/>
        <v>4</v>
      </c>
      <c r="AO7" s="32">
        <v>6</v>
      </c>
      <c r="AP7" s="40">
        <v>6</v>
      </c>
      <c r="AQ7" s="30">
        <f t="shared" si="12"/>
        <v>4</v>
      </c>
      <c r="AR7" s="32">
        <v>10</v>
      </c>
      <c r="AS7" s="40">
        <v>10</v>
      </c>
      <c r="AT7" s="30">
        <f t="shared" si="13"/>
        <v>5</v>
      </c>
      <c r="AU7" s="40">
        <f t="shared" si="14"/>
        <v>61</v>
      </c>
      <c r="AV7" s="30">
        <f t="shared" si="15"/>
        <v>5</v>
      </c>
      <c r="AW7" s="40">
        <f t="shared" si="16"/>
        <v>121</v>
      </c>
      <c r="AX7" s="41"/>
      <c r="AY7" s="32" t="s">
        <v>212</v>
      </c>
      <c r="AZ7" s="31">
        <v>8.07</v>
      </c>
      <c r="BA7" s="344">
        <v>5</v>
      </c>
      <c r="BB7" s="30">
        <v>4</v>
      </c>
      <c r="BC7" s="31">
        <v>16.23</v>
      </c>
      <c r="BD7" s="344">
        <v>5</v>
      </c>
      <c r="BE7" s="30">
        <v>4</v>
      </c>
      <c r="BF7" s="31">
        <v>20</v>
      </c>
      <c r="BG7" s="344">
        <v>20</v>
      </c>
      <c r="BH7" s="30">
        <f t="shared" si="17"/>
        <v>5</v>
      </c>
      <c r="BI7" s="31">
        <v>11.200000000000001</v>
      </c>
      <c r="BJ7" s="344">
        <v>14</v>
      </c>
      <c r="BK7" s="30">
        <f t="shared" si="18"/>
        <v>5</v>
      </c>
      <c r="BL7" s="31">
        <v>9</v>
      </c>
      <c r="BM7" s="344">
        <v>18</v>
      </c>
      <c r="BN7" s="30">
        <f t="shared" si="19"/>
        <v>5</v>
      </c>
      <c r="BO7" s="40">
        <f t="shared" si="20"/>
        <v>62</v>
      </c>
      <c r="BP7" s="30">
        <f t="shared" si="21"/>
        <v>5</v>
      </c>
      <c r="BQ7" s="40">
        <f t="shared" si="22"/>
        <v>183</v>
      </c>
      <c r="BR7" s="41"/>
      <c r="BS7" s="31">
        <v>9.3000000000000007</v>
      </c>
      <c r="BT7" s="344">
        <v>4</v>
      </c>
      <c r="BU7" s="30">
        <f t="shared" si="23"/>
        <v>3</v>
      </c>
      <c r="BV7" s="31">
        <v>10.23</v>
      </c>
      <c r="BW7" s="344">
        <v>3</v>
      </c>
      <c r="BX7" s="30">
        <f t="shared" si="24"/>
        <v>3</v>
      </c>
      <c r="BY7" s="31">
        <v>49</v>
      </c>
      <c r="BZ7" s="344">
        <v>14</v>
      </c>
      <c r="CA7" s="30">
        <f t="shared" si="25"/>
        <v>5</v>
      </c>
      <c r="CB7" s="31">
        <v>35</v>
      </c>
      <c r="CC7" s="344">
        <v>20</v>
      </c>
      <c r="CD7" s="349">
        <f t="shared" si="26"/>
        <v>5</v>
      </c>
      <c r="CE7" s="40">
        <f t="shared" si="27"/>
        <v>41</v>
      </c>
      <c r="CF7" s="30">
        <f t="shared" si="28"/>
        <v>5</v>
      </c>
      <c r="CG7" s="40">
        <f t="shared" si="29"/>
        <v>224</v>
      </c>
      <c r="CH7" s="41"/>
      <c r="CI7" s="32" t="s">
        <v>212</v>
      </c>
    </row>
    <row r="8" spans="1:95">
      <c r="A8" s="3"/>
      <c r="B8" s="32" t="s">
        <v>213</v>
      </c>
      <c r="C8" s="48">
        <v>33937</v>
      </c>
      <c r="D8" s="47" t="s">
        <v>19</v>
      </c>
      <c r="E8" s="32">
        <v>169</v>
      </c>
      <c r="F8" s="32">
        <v>65</v>
      </c>
      <c r="G8" s="32">
        <v>82</v>
      </c>
      <c r="H8" s="136">
        <v>1.1339999999999999</v>
      </c>
      <c r="I8" s="151">
        <f t="shared" si="0"/>
        <v>22.758306781975424</v>
      </c>
      <c r="J8" s="43" t="s">
        <v>24</v>
      </c>
      <c r="K8" s="32">
        <f t="shared" si="1"/>
        <v>94.506818084053876</v>
      </c>
      <c r="L8" s="32" t="s">
        <v>213</v>
      </c>
      <c r="M8" s="32">
        <v>209</v>
      </c>
      <c r="N8" s="40">
        <v>19</v>
      </c>
      <c r="O8" s="30">
        <f t="shared" si="2"/>
        <v>5</v>
      </c>
      <c r="P8" s="32">
        <v>4</v>
      </c>
      <c r="Q8" s="40">
        <v>19</v>
      </c>
      <c r="R8" s="30">
        <f t="shared" si="3"/>
        <v>5</v>
      </c>
      <c r="S8" s="32">
        <v>9.3000000000000007</v>
      </c>
      <c r="T8" s="40">
        <v>17</v>
      </c>
      <c r="U8" s="30">
        <f t="shared" si="4"/>
        <v>5</v>
      </c>
      <c r="V8" s="32">
        <v>1500</v>
      </c>
      <c r="W8" s="40">
        <v>20</v>
      </c>
      <c r="X8" s="30">
        <f t="shared" si="5"/>
        <v>5</v>
      </c>
      <c r="Y8" s="40">
        <f t="shared" si="6"/>
        <v>75</v>
      </c>
      <c r="Z8" s="30">
        <f t="shared" si="7"/>
        <v>5</v>
      </c>
      <c r="AA8" s="223">
        <v>5</v>
      </c>
      <c r="AB8" s="32" t="s">
        <v>213</v>
      </c>
      <c r="AC8" s="32">
        <v>50</v>
      </c>
      <c r="AD8" s="40">
        <v>10</v>
      </c>
      <c r="AE8" s="30">
        <f t="shared" si="8"/>
        <v>5</v>
      </c>
      <c r="AF8" s="32">
        <v>-11</v>
      </c>
      <c r="AG8" s="40">
        <v>0</v>
      </c>
      <c r="AH8" s="30">
        <f t="shared" si="9"/>
        <v>2</v>
      </c>
      <c r="AI8" s="32">
        <v>132</v>
      </c>
      <c r="AJ8" s="40">
        <v>10</v>
      </c>
      <c r="AK8" s="30">
        <f t="shared" si="10"/>
        <v>5</v>
      </c>
      <c r="AL8" s="32">
        <v>12</v>
      </c>
      <c r="AM8" s="40">
        <v>14</v>
      </c>
      <c r="AN8" s="30">
        <f t="shared" si="11"/>
        <v>5</v>
      </c>
      <c r="AO8" s="32">
        <v>4</v>
      </c>
      <c r="AP8" s="40">
        <v>4</v>
      </c>
      <c r="AQ8" s="30">
        <f t="shared" si="12"/>
        <v>3</v>
      </c>
      <c r="AR8" s="32">
        <v>1</v>
      </c>
      <c r="AS8" s="40">
        <v>1</v>
      </c>
      <c r="AT8" s="30">
        <f t="shared" si="13"/>
        <v>3</v>
      </c>
      <c r="AU8" s="40">
        <f t="shared" si="14"/>
        <v>39</v>
      </c>
      <c r="AV8" s="30">
        <f t="shared" si="15"/>
        <v>4</v>
      </c>
      <c r="AW8" s="40">
        <f t="shared" si="16"/>
        <v>114</v>
      </c>
      <c r="AX8" s="41"/>
      <c r="AY8" s="32" t="s">
        <v>213</v>
      </c>
      <c r="AZ8" s="31"/>
      <c r="BA8" s="344"/>
      <c r="BB8" s="30"/>
      <c r="BC8" s="31"/>
      <c r="BD8" s="344"/>
      <c r="BE8" s="30"/>
      <c r="BF8" s="31">
        <v>20</v>
      </c>
      <c r="BG8" s="344">
        <v>20</v>
      </c>
      <c r="BH8" s="30">
        <f t="shared" si="17"/>
        <v>5</v>
      </c>
      <c r="BI8" s="31">
        <v>10.6</v>
      </c>
      <c r="BJ8" s="344">
        <v>18</v>
      </c>
      <c r="BK8" s="30">
        <f t="shared" si="18"/>
        <v>5</v>
      </c>
      <c r="BL8" s="31">
        <v>9</v>
      </c>
      <c r="BM8" s="344">
        <v>18</v>
      </c>
      <c r="BN8" s="30">
        <f t="shared" si="19"/>
        <v>5</v>
      </c>
      <c r="BO8" s="40">
        <f t="shared" si="20"/>
        <v>56</v>
      </c>
      <c r="BP8" s="30">
        <f t="shared" si="21"/>
        <v>5</v>
      </c>
      <c r="BQ8" s="40">
        <f t="shared" si="22"/>
        <v>170</v>
      </c>
      <c r="BR8" s="41"/>
      <c r="BS8" s="31">
        <v>7.7</v>
      </c>
      <c r="BT8" s="344">
        <v>20</v>
      </c>
      <c r="BU8" s="30">
        <f t="shared" si="23"/>
        <v>5</v>
      </c>
      <c r="BV8" s="31">
        <v>10</v>
      </c>
      <c r="BW8" s="344">
        <v>5</v>
      </c>
      <c r="BX8" s="30">
        <f t="shared" si="24"/>
        <v>4</v>
      </c>
      <c r="BY8" s="31">
        <v>44</v>
      </c>
      <c r="BZ8" s="344">
        <v>9</v>
      </c>
      <c r="CA8" s="30">
        <f t="shared" si="25"/>
        <v>4</v>
      </c>
      <c r="CB8" s="31">
        <v>35</v>
      </c>
      <c r="CC8" s="344">
        <v>20</v>
      </c>
      <c r="CD8" s="349">
        <f t="shared" si="26"/>
        <v>5</v>
      </c>
      <c r="CE8" s="40">
        <f t="shared" si="27"/>
        <v>54</v>
      </c>
      <c r="CF8" s="30">
        <f t="shared" si="28"/>
        <v>5</v>
      </c>
      <c r="CG8" s="40">
        <f t="shared" si="29"/>
        <v>224</v>
      </c>
      <c r="CH8" s="41"/>
      <c r="CI8" s="32" t="s">
        <v>213</v>
      </c>
    </row>
    <row r="9" spans="1:95">
      <c r="A9" s="3"/>
      <c r="B9" s="32" t="s">
        <v>214</v>
      </c>
      <c r="C9" s="48">
        <v>34159</v>
      </c>
      <c r="D9" s="47" t="s">
        <v>19</v>
      </c>
      <c r="E9" s="32">
        <v>160</v>
      </c>
      <c r="F9" s="32">
        <v>50</v>
      </c>
      <c r="G9" s="32">
        <v>79</v>
      </c>
      <c r="H9" s="136">
        <v>1.139</v>
      </c>
      <c r="I9" s="151">
        <f t="shared" si="0"/>
        <v>19.531249999999996</v>
      </c>
      <c r="J9" s="10" t="s">
        <v>26</v>
      </c>
      <c r="K9" s="32">
        <f t="shared" si="1"/>
        <v>97.79842411175693</v>
      </c>
      <c r="L9" s="32" t="s">
        <v>214</v>
      </c>
      <c r="M9" s="32">
        <v>213</v>
      </c>
      <c r="N9" s="40">
        <v>20</v>
      </c>
      <c r="O9" s="30">
        <f t="shared" si="2"/>
        <v>5</v>
      </c>
      <c r="P9" s="32">
        <v>4.0999999999999996</v>
      </c>
      <c r="Q9" s="40">
        <v>18</v>
      </c>
      <c r="R9" s="30">
        <f t="shared" si="3"/>
        <v>5</v>
      </c>
      <c r="S9" s="32">
        <v>9.6999999999999993</v>
      </c>
      <c r="T9" s="40">
        <v>13</v>
      </c>
      <c r="U9" s="30">
        <f t="shared" si="4"/>
        <v>5</v>
      </c>
      <c r="V9" s="32">
        <v>1575</v>
      </c>
      <c r="W9" s="40">
        <v>20</v>
      </c>
      <c r="X9" s="30">
        <f t="shared" si="5"/>
        <v>5</v>
      </c>
      <c r="Y9" s="40">
        <f t="shared" si="6"/>
        <v>71</v>
      </c>
      <c r="Z9" s="30">
        <f t="shared" si="7"/>
        <v>5</v>
      </c>
      <c r="AA9" s="223">
        <v>5</v>
      </c>
      <c r="AB9" s="32" t="s">
        <v>214</v>
      </c>
      <c r="AC9" s="32">
        <v>44</v>
      </c>
      <c r="AD9" s="40">
        <v>5</v>
      </c>
      <c r="AE9" s="30">
        <f t="shared" si="8"/>
        <v>4</v>
      </c>
      <c r="AF9" s="32">
        <v>21</v>
      </c>
      <c r="AG9" s="40">
        <v>20</v>
      </c>
      <c r="AH9" s="30">
        <f t="shared" si="9"/>
        <v>5</v>
      </c>
      <c r="AI9" s="32">
        <v>147</v>
      </c>
      <c r="AJ9" s="40">
        <v>16</v>
      </c>
      <c r="AK9" s="30">
        <f t="shared" si="10"/>
        <v>5</v>
      </c>
      <c r="AL9" s="32">
        <v>11</v>
      </c>
      <c r="AM9" s="40">
        <v>12</v>
      </c>
      <c r="AN9" s="30">
        <f t="shared" si="11"/>
        <v>5</v>
      </c>
      <c r="AO9" s="32">
        <v>13</v>
      </c>
      <c r="AP9" s="40">
        <v>13</v>
      </c>
      <c r="AQ9" s="30">
        <f t="shared" si="12"/>
        <v>5</v>
      </c>
      <c r="AR9" s="32"/>
      <c r="AS9" s="40"/>
      <c r="AT9" s="30" t="str">
        <f t="shared" si="13"/>
        <v/>
      </c>
      <c r="AU9" s="40">
        <f t="shared" si="14"/>
        <v>66</v>
      </c>
      <c r="AV9" s="30">
        <f t="shared" si="15"/>
        <v>5</v>
      </c>
      <c r="AW9" s="40">
        <f t="shared" si="16"/>
        <v>137</v>
      </c>
      <c r="AX9" s="41"/>
      <c r="AY9" s="32" t="s">
        <v>214</v>
      </c>
      <c r="AZ9" s="31"/>
      <c r="BA9" s="344"/>
      <c r="BB9" s="30"/>
      <c r="BC9" s="31"/>
      <c r="BD9" s="344"/>
      <c r="BE9" s="30"/>
      <c r="BF9" s="31">
        <v>11</v>
      </c>
      <c r="BG9" s="344">
        <v>11</v>
      </c>
      <c r="BH9" s="30">
        <f t="shared" si="17"/>
        <v>5</v>
      </c>
      <c r="BI9" s="31">
        <v>11.4</v>
      </c>
      <c r="BJ9" s="344">
        <v>13</v>
      </c>
      <c r="BK9" s="30">
        <f t="shared" si="18"/>
        <v>5</v>
      </c>
      <c r="BL9" s="31">
        <v>5</v>
      </c>
      <c r="BM9" s="344">
        <v>3</v>
      </c>
      <c r="BN9" s="30">
        <f t="shared" si="19"/>
        <v>3</v>
      </c>
      <c r="BO9" s="40">
        <f t="shared" si="20"/>
        <v>27</v>
      </c>
      <c r="BP9" s="30">
        <f t="shared" si="21"/>
        <v>4</v>
      </c>
      <c r="BQ9" s="40">
        <f t="shared" si="22"/>
        <v>164</v>
      </c>
      <c r="BR9" s="41"/>
      <c r="BS9" s="31">
        <v>8.1999999999999993</v>
      </c>
      <c r="BT9" s="344">
        <v>14</v>
      </c>
      <c r="BU9" s="30">
        <f t="shared" si="23"/>
        <v>5</v>
      </c>
      <c r="BV9" s="31">
        <v>9.3699999999999992</v>
      </c>
      <c r="BW9" s="344">
        <v>7</v>
      </c>
      <c r="BX9" s="30">
        <f t="shared" si="24"/>
        <v>4</v>
      </c>
      <c r="BY9" s="31">
        <v>38</v>
      </c>
      <c r="BZ9" s="344">
        <v>4</v>
      </c>
      <c r="CA9" s="30">
        <f t="shared" si="25"/>
        <v>3</v>
      </c>
      <c r="CB9" s="31">
        <v>35</v>
      </c>
      <c r="CC9" s="344">
        <v>20</v>
      </c>
      <c r="CD9" s="349">
        <f t="shared" si="26"/>
        <v>5</v>
      </c>
      <c r="CE9" s="40">
        <f t="shared" si="27"/>
        <v>45</v>
      </c>
      <c r="CF9" s="30">
        <f t="shared" si="28"/>
        <v>5</v>
      </c>
      <c r="CG9" s="40">
        <f t="shared" si="29"/>
        <v>209</v>
      </c>
      <c r="CH9" s="41"/>
      <c r="CI9" s="32" t="s">
        <v>214</v>
      </c>
    </row>
    <row r="10" spans="1:95">
      <c r="A10" s="3"/>
      <c r="B10" s="32" t="s">
        <v>215</v>
      </c>
      <c r="C10" s="48">
        <v>33807</v>
      </c>
      <c r="D10" s="47" t="s">
        <v>77</v>
      </c>
      <c r="E10" s="32">
        <v>172</v>
      </c>
      <c r="F10" s="32">
        <v>59</v>
      </c>
      <c r="G10" s="32">
        <v>81</v>
      </c>
      <c r="H10" s="136">
        <v>1.1339999999999999</v>
      </c>
      <c r="I10" s="151">
        <f t="shared" si="0"/>
        <v>19.943212547322879</v>
      </c>
      <c r="J10" s="43" t="s">
        <v>30</v>
      </c>
      <c r="K10" s="32">
        <f t="shared" si="1"/>
        <v>105.79833213578071</v>
      </c>
      <c r="L10" s="32" t="s">
        <v>215</v>
      </c>
      <c r="M10" s="32">
        <v>245</v>
      </c>
      <c r="N10" s="40">
        <v>20</v>
      </c>
      <c r="O10" s="30">
        <f t="shared" si="2"/>
        <v>5</v>
      </c>
      <c r="P10" s="32">
        <v>3.8000000000000003</v>
      </c>
      <c r="Q10" s="40">
        <v>20</v>
      </c>
      <c r="R10" s="30">
        <f t="shared" si="3"/>
        <v>5</v>
      </c>
      <c r="S10" s="32">
        <v>9.1999999999999993</v>
      </c>
      <c r="T10" s="40">
        <v>18</v>
      </c>
      <c r="U10" s="30">
        <f t="shared" si="4"/>
        <v>5</v>
      </c>
      <c r="V10" s="32">
        <v>1600</v>
      </c>
      <c r="W10" s="40">
        <v>20</v>
      </c>
      <c r="X10" s="30">
        <f t="shared" si="5"/>
        <v>5</v>
      </c>
      <c r="Y10" s="40">
        <f t="shared" si="6"/>
        <v>78</v>
      </c>
      <c r="Z10" s="30">
        <f t="shared" si="7"/>
        <v>5</v>
      </c>
      <c r="AA10" s="223">
        <v>5</v>
      </c>
      <c r="AB10" s="32" t="s">
        <v>215</v>
      </c>
      <c r="AC10" s="32">
        <v>44</v>
      </c>
      <c r="AD10" s="40">
        <v>5</v>
      </c>
      <c r="AE10" s="30">
        <f t="shared" si="8"/>
        <v>4</v>
      </c>
      <c r="AF10" s="32">
        <v>-3</v>
      </c>
      <c r="AG10" s="40">
        <v>0</v>
      </c>
      <c r="AH10" s="30">
        <f t="shared" si="9"/>
        <v>2</v>
      </c>
      <c r="AI10" s="32">
        <v>110</v>
      </c>
      <c r="AJ10" s="40">
        <v>1</v>
      </c>
      <c r="AK10" s="30">
        <f t="shared" si="10"/>
        <v>3</v>
      </c>
      <c r="AL10" s="32">
        <v>9</v>
      </c>
      <c r="AM10" s="40">
        <v>8</v>
      </c>
      <c r="AN10" s="30">
        <f t="shared" si="11"/>
        <v>4</v>
      </c>
      <c r="AO10" s="32">
        <v>6</v>
      </c>
      <c r="AP10" s="40">
        <v>6</v>
      </c>
      <c r="AQ10" s="30">
        <f t="shared" si="12"/>
        <v>4</v>
      </c>
      <c r="AR10" s="32"/>
      <c r="AS10" s="40"/>
      <c r="AT10" s="30" t="str">
        <f t="shared" si="13"/>
        <v/>
      </c>
      <c r="AU10" s="40">
        <f t="shared" si="14"/>
        <v>20</v>
      </c>
      <c r="AV10" s="30">
        <f t="shared" si="15"/>
        <v>4</v>
      </c>
      <c r="AW10" s="40">
        <f t="shared" si="16"/>
        <v>98</v>
      </c>
      <c r="AX10" s="41"/>
      <c r="AY10" s="32" t="s">
        <v>215</v>
      </c>
      <c r="AZ10" s="31">
        <v>6.0600000000000005</v>
      </c>
      <c r="BA10" s="344">
        <v>0</v>
      </c>
      <c r="BB10" s="30">
        <v>2</v>
      </c>
      <c r="BC10" s="31">
        <v>12.21</v>
      </c>
      <c r="BD10" s="344">
        <v>0</v>
      </c>
      <c r="BE10" s="30">
        <v>3</v>
      </c>
      <c r="BF10" s="31">
        <v>11</v>
      </c>
      <c r="BG10" s="344">
        <v>11</v>
      </c>
      <c r="BH10" s="30">
        <f t="shared" si="17"/>
        <v>5</v>
      </c>
      <c r="BI10" s="31">
        <v>12.200000000000001</v>
      </c>
      <c r="BJ10" s="344">
        <v>9</v>
      </c>
      <c r="BK10" s="30">
        <f t="shared" si="18"/>
        <v>4</v>
      </c>
      <c r="BL10" s="31">
        <v>6</v>
      </c>
      <c r="BM10" s="344">
        <v>5</v>
      </c>
      <c r="BN10" s="30">
        <f t="shared" si="19"/>
        <v>4</v>
      </c>
      <c r="BO10" s="40">
        <f t="shared" si="20"/>
        <v>25</v>
      </c>
      <c r="BP10" s="30">
        <f t="shared" si="21"/>
        <v>4</v>
      </c>
      <c r="BQ10" s="40">
        <f t="shared" si="22"/>
        <v>123</v>
      </c>
      <c r="BR10" s="41"/>
      <c r="BS10" s="31">
        <v>7.3</v>
      </c>
      <c r="BT10" s="344">
        <v>20</v>
      </c>
      <c r="BU10" s="30">
        <f t="shared" si="23"/>
        <v>5</v>
      </c>
      <c r="BV10" s="31">
        <v>8.5399999999999991</v>
      </c>
      <c r="BW10" s="344">
        <v>12</v>
      </c>
      <c r="BX10" s="30">
        <f t="shared" si="24"/>
        <v>5</v>
      </c>
      <c r="BY10" s="31">
        <v>47</v>
      </c>
      <c r="BZ10" s="344">
        <v>12</v>
      </c>
      <c r="CA10" s="30">
        <f t="shared" si="25"/>
        <v>5</v>
      </c>
      <c r="CB10" s="31">
        <v>36</v>
      </c>
      <c r="CC10" s="344">
        <v>20</v>
      </c>
      <c r="CD10" s="349">
        <f t="shared" si="26"/>
        <v>5</v>
      </c>
      <c r="CE10" s="40">
        <f t="shared" si="27"/>
        <v>64</v>
      </c>
      <c r="CF10" s="30">
        <f t="shared" si="28"/>
        <v>5</v>
      </c>
      <c r="CG10" s="40">
        <f t="shared" si="29"/>
        <v>187</v>
      </c>
      <c r="CH10" s="223">
        <v>5</v>
      </c>
      <c r="CI10" s="32" t="s">
        <v>215</v>
      </c>
    </row>
    <row r="11" spans="1:95">
      <c r="A11" s="3"/>
      <c r="B11" s="32" t="s">
        <v>216</v>
      </c>
      <c r="C11" s="48">
        <v>34317</v>
      </c>
      <c r="D11" s="47" t="s">
        <v>19</v>
      </c>
      <c r="E11" s="32">
        <v>180</v>
      </c>
      <c r="F11" s="32">
        <v>58</v>
      </c>
      <c r="G11" s="32">
        <v>77</v>
      </c>
      <c r="H11" s="136">
        <v>1.139</v>
      </c>
      <c r="I11" s="151">
        <f t="shared" si="0"/>
        <v>17.901234567901234</v>
      </c>
      <c r="J11" s="43" t="s">
        <v>30</v>
      </c>
      <c r="K11" s="32">
        <f t="shared" si="1"/>
        <v>125.19526127954573</v>
      </c>
      <c r="L11" s="32" t="s">
        <v>216</v>
      </c>
      <c r="M11" s="32">
        <v>203</v>
      </c>
      <c r="N11" s="40">
        <v>13</v>
      </c>
      <c r="O11" s="30">
        <f t="shared" si="2"/>
        <v>5</v>
      </c>
      <c r="P11" s="32">
        <v>4.2</v>
      </c>
      <c r="Q11" s="40">
        <v>16</v>
      </c>
      <c r="R11" s="30">
        <f t="shared" si="3"/>
        <v>5</v>
      </c>
      <c r="S11" s="32">
        <v>9.6999999999999993</v>
      </c>
      <c r="T11" s="40">
        <v>13</v>
      </c>
      <c r="U11" s="30">
        <f t="shared" si="4"/>
        <v>5</v>
      </c>
      <c r="V11" s="32">
        <v>1655</v>
      </c>
      <c r="W11" s="40">
        <v>20</v>
      </c>
      <c r="X11" s="30">
        <f t="shared" si="5"/>
        <v>5</v>
      </c>
      <c r="Y11" s="40">
        <f t="shared" si="6"/>
        <v>62</v>
      </c>
      <c r="Z11" s="30">
        <f t="shared" si="7"/>
        <v>5</v>
      </c>
      <c r="AA11" s="223">
        <v>5</v>
      </c>
      <c r="AB11" s="32" t="s">
        <v>216</v>
      </c>
      <c r="AC11" s="32">
        <v>45</v>
      </c>
      <c r="AD11" s="40">
        <v>6</v>
      </c>
      <c r="AE11" s="30">
        <f t="shared" si="8"/>
        <v>4</v>
      </c>
      <c r="AF11" s="32">
        <v>-17</v>
      </c>
      <c r="AG11" s="40">
        <v>0</v>
      </c>
      <c r="AH11" s="30">
        <f t="shared" si="9"/>
        <v>2</v>
      </c>
      <c r="AI11" s="32">
        <v>135</v>
      </c>
      <c r="AJ11" s="40">
        <v>11</v>
      </c>
      <c r="AK11" s="30">
        <f t="shared" si="10"/>
        <v>5</v>
      </c>
      <c r="AL11" s="32">
        <v>2</v>
      </c>
      <c r="AM11" s="40">
        <v>0</v>
      </c>
      <c r="AN11" s="30">
        <f t="shared" si="11"/>
        <v>2</v>
      </c>
      <c r="AO11" s="32">
        <v>4</v>
      </c>
      <c r="AP11" s="40">
        <v>4</v>
      </c>
      <c r="AQ11" s="30">
        <f t="shared" si="12"/>
        <v>3</v>
      </c>
      <c r="AR11" s="32"/>
      <c r="AS11" s="40"/>
      <c r="AT11" s="30" t="str">
        <f t="shared" si="13"/>
        <v/>
      </c>
      <c r="AU11" s="40">
        <f t="shared" si="14"/>
        <v>21</v>
      </c>
      <c r="AV11" s="30">
        <f t="shared" si="15"/>
        <v>4</v>
      </c>
      <c r="AW11" s="40">
        <f t="shared" si="16"/>
        <v>83</v>
      </c>
      <c r="AX11" s="41"/>
      <c r="AY11" s="32" t="s">
        <v>216</v>
      </c>
      <c r="AZ11" s="31"/>
      <c r="BA11" s="344"/>
      <c r="BB11" s="30">
        <v>5</v>
      </c>
      <c r="BC11" s="31"/>
      <c r="BD11" s="344"/>
      <c r="BE11" s="30">
        <v>5</v>
      </c>
      <c r="BF11" s="31">
        <v>20</v>
      </c>
      <c r="BG11" s="344">
        <v>20</v>
      </c>
      <c r="BH11" s="30">
        <f t="shared" si="17"/>
        <v>5</v>
      </c>
      <c r="BI11" s="31">
        <v>12.200000000000001</v>
      </c>
      <c r="BJ11" s="344">
        <v>9</v>
      </c>
      <c r="BK11" s="30">
        <f t="shared" si="18"/>
        <v>4</v>
      </c>
      <c r="BL11" s="31">
        <v>10</v>
      </c>
      <c r="BM11" s="344">
        <v>20</v>
      </c>
      <c r="BN11" s="30">
        <f t="shared" si="19"/>
        <v>5</v>
      </c>
      <c r="BO11" s="40">
        <f t="shared" si="20"/>
        <v>49</v>
      </c>
      <c r="BP11" s="30">
        <f t="shared" si="21"/>
        <v>5</v>
      </c>
      <c r="BQ11" s="40">
        <f t="shared" si="22"/>
        <v>132</v>
      </c>
      <c r="BR11" s="41"/>
      <c r="BS11" s="31">
        <v>8.1</v>
      </c>
      <c r="BT11" s="344">
        <v>16</v>
      </c>
      <c r="BU11" s="30">
        <f t="shared" si="23"/>
        <v>5</v>
      </c>
      <c r="BV11" s="31">
        <v>8.31</v>
      </c>
      <c r="BW11" s="344">
        <v>15</v>
      </c>
      <c r="BX11" s="30">
        <f t="shared" si="24"/>
        <v>5</v>
      </c>
      <c r="BY11" s="31">
        <v>40</v>
      </c>
      <c r="BZ11" s="344">
        <v>5</v>
      </c>
      <c r="CA11" s="30">
        <f t="shared" si="25"/>
        <v>4</v>
      </c>
      <c r="CB11" s="31">
        <v>22</v>
      </c>
      <c r="CC11" s="344">
        <v>10</v>
      </c>
      <c r="CD11" s="349">
        <f t="shared" si="26"/>
        <v>5</v>
      </c>
      <c r="CE11" s="40">
        <f t="shared" si="27"/>
        <v>46</v>
      </c>
      <c r="CF11" s="30">
        <f t="shared" si="28"/>
        <v>5</v>
      </c>
      <c r="CG11" s="40">
        <f t="shared" si="29"/>
        <v>178</v>
      </c>
      <c r="CH11" s="41"/>
      <c r="CI11" s="32" t="s">
        <v>216</v>
      </c>
    </row>
    <row r="12" spans="1:95">
      <c r="A12" s="3"/>
      <c r="B12" s="34" t="s">
        <v>217</v>
      </c>
      <c r="C12" s="48">
        <v>34020</v>
      </c>
      <c r="D12" s="47" t="s">
        <v>19</v>
      </c>
      <c r="E12" s="32">
        <v>175</v>
      </c>
      <c r="F12" s="32">
        <v>62</v>
      </c>
      <c r="G12" s="32">
        <v>82</v>
      </c>
      <c r="H12" s="136">
        <v>1.139</v>
      </c>
      <c r="I12" s="151">
        <f t="shared" si="0"/>
        <v>20.244897959183675</v>
      </c>
      <c r="J12" s="10" t="s">
        <v>26</v>
      </c>
      <c r="K12" s="32">
        <f t="shared" si="1"/>
        <v>105.86415126662241</v>
      </c>
      <c r="L12" s="34" t="s">
        <v>217</v>
      </c>
      <c r="M12" s="32">
        <v>216</v>
      </c>
      <c r="N12" s="40">
        <v>20</v>
      </c>
      <c r="O12" s="30">
        <f t="shared" si="2"/>
        <v>5</v>
      </c>
      <c r="P12" s="32">
        <v>4.5</v>
      </c>
      <c r="Q12" s="40">
        <v>10</v>
      </c>
      <c r="R12" s="30">
        <f t="shared" si="3"/>
        <v>5</v>
      </c>
      <c r="S12" s="32">
        <v>9.8000000000000007</v>
      </c>
      <c r="T12" s="40">
        <v>12</v>
      </c>
      <c r="U12" s="30">
        <f t="shared" si="4"/>
        <v>5</v>
      </c>
      <c r="V12" s="32">
        <v>1550</v>
      </c>
      <c r="W12" s="40">
        <v>20</v>
      </c>
      <c r="X12" s="30">
        <f t="shared" si="5"/>
        <v>5</v>
      </c>
      <c r="Y12" s="40">
        <f t="shared" si="6"/>
        <v>62</v>
      </c>
      <c r="Z12" s="30">
        <f t="shared" si="7"/>
        <v>5</v>
      </c>
      <c r="AA12" s="223">
        <v>5</v>
      </c>
      <c r="AB12" s="34" t="s">
        <v>217</v>
      </c>
      <c r="AC12" s="32">
        <v>45</v>
      </c>
      <c r="AD12" s="40">
        <v>6</v>
      </c>
      <c r="AE12" s="30">
        <f t="shared" si="8"/>
        <v>4</v>
      </c>
      <c r="AF12" s="32">
        <v>3</v>
      </c>
      <c r="AG12" s="40">
        <v>0</v>
      </c>
      <c r="AH12" s="30">
        <f t="shared" si="9"/>
        <v>2</v>
      </c>
      <c r="AI12" s="32">
        <v>93</v>
      </c>
      <c r="AJ12" s="40">
        <v>0</v>
      </c>
      <c r="AK12" s="30">
        <f t="shared" si="10"/>
        <v>2</v>
      </c>
      <c r="AL12" s="32">
        <v>3</v>
      </c>
      <c r="AM12" s="40">
        <v>0</v>
      </c>
      <c r="AN12" s="30">
        <f t="shared" si="11"/>
        <v>2</v>
      </c>
      <c r="AO12" s="32">
        <v>9</v>
      </c>
      <c r="AP12" s="40">
        <v>9</v>
      </c>
      <c r="AQ12" s="30">
        <f t="shared" si="12"/>
        <v>4</v>
      </c>
      <c r="AR12" s="32">
        <v>10</v>
      </c>
      <c r="AS12" s="40">
        <v>10</v>
      </c>
      <c r="AT12" s="30">
        <f t="shared" si="13"/>
        <v>5</v>
      </c>
      <c r="AU12" s="40">
        <f t="shared" si="14"/>
        <v>25</v>
      </c>
      <c r="AV12" s="30">
        <f t="shared" si="15"/>
        <v>4</v>
      </c>
      <c r="AW12" s="40">
        <f t="shared" si="16"/>
        <v>87</v>
      </c>
      <c r="AX12" s="41"/>
      <c r="AY12" s="34" t="s">
        <v>217</v>
      </c>
      <c r="AZ12" s="31"/>
      <c r="BA12" s="344"/>
      <c r="BB12" s="30">
        <v>3</v>
      </c>
      <c r="BC12" s="31"/>
      <c r="BD12" s="344"/>
      <c r="BE12" s="30">
        <v>3</v>
      </c>
      <c r="BF12" s="31">
        <v>16</v>
      </c>
      <c r="BG12" s="344">
        <v>16</v>
      </c>
      <c r="BH12" s="30">
        <f t="shared" si="17"/>
        <v>5</v>
      </c>
      <c r="BI12" s="31">
        <v>11.1</v>
      </c>
      <c r="BJ12" s="344">
        <v>14</v>
      </c>
      <c r="BK12" s="30">
        <f t="shared" si="18"/>
        <v>5</v>
      </c>
      <c r="BL12" s="31"/>
      <c r="BM12" s="344"/>
      <c r="BN12" s="30" t="str">
        <f t="shared" si="19"/>
        <v/>
      </c>
      <c r="BO12" s="40">
        <f t="shared" si="20"/>
        <v>30</v>
      </c>
      <c r="BP12" s="30">
        <f t="shared" si="21"/>
        <v>4</v>
      </c>
      <c r="BQ12" s="40">
        <f t="shared" si="22"/>
        <v>117</v>
      </c>
      <c r="BR12" s="41"/>
      <c r="BS12" s="31">
        <v>7.8</v>
      </c>
      <c r="BT12" s="344">
        <v>19</v>
      </c>
      <c r="BU12" s="30">
        <f t="shared" si="23"/>
        <v>5</v>
      </c>
      <c r="BV12" s="31">
        <v>12.35</v>
      </c>
      <c r="BW12" s="344">
        <v>0</v>
      </c>
      <c r="BX12" s="30">
        <f t="shared" si="24"/>
        <v>2</v>
      </c>
      <c r="BY12" s="31">
        <v>40</v>
      </c>
      <c r="BZ12" s="344">
        <v>5</v>
      </c>
      <c r="CA12" s="30">
        <f t="shared" si="25"/>
        <v>4</v>
      </c>
      <c r="CB12" s="31">
        <v>33</v>
      </c>
      <c r="CC12" s="344">
        <v>18</v>
      </c>
      <c r="CD12" s="349">
        <f t="shared" si="26"/>
        <v>5</v>
      </c>
      <c r="CE12" s="40">
        <f t="shared" si="27"/>
        <v>42</v>
      </c>
      <c r="CF12" s="30">
        <f t="shared" si="28"/>
        <v>5</v>
      </c>
      <c r="CG12" s="40">
        <f t="shared" si="29"/>
        <v>159</v>
      </c>
      <c r="CH12" s="41"/>
      <c r="CI12" s="34" t="s">
        <v>217</v>
      </c>
    </row>
    <row r="13" spans="1:95">
      <c r="A13" s="3"/>
      <c r="B13" s="32" t="s">
        <v>218</v>
      </c>
      <c r="C13" s="48">
        <v>34250</v>
      </c>
      <c r="D13" s="47" t="s">
        <v>19</v>
      </c>
      <c r="E13" s="32">
        <v>176</v>
      </c>
      <c r="F13" s="32">
        <v>59</v>
      </c>
      <c r="G13" s="32">
        <v>80</v>
      </c>
      <c r="H13" s="136">
        <v>1.139</v>
      </c>
      <c r="I13" s="151">
        <f t="shared" si="0"/>
        <v>19.047004132231404</v>
      </c>
      <c r="J13" s="10" t="s">
        <v>26</v>
      </c>
      <c r="K13" s="32">
        <f t="shared" si="1"/>
        <v>112.99385425812115</v>
      </c>
      <c r="L13" s="32" t="s">
        <v>218</v>
      </c>
      <c r="M13" s="32">
        <v>180</v>
      </c>
      <c r="N13" s="40">
        <v>0</v>
      </c>
      <c r="O13" s="30">
        <f t="shared" si="2"/>
        <v>2</v>
      </c>
      <c r="P13" s="32">
        <v>4.7</v>
      </c>
      <c r="Q13" s="40">
        <v>8</v>
      </c>
      <c r="R13" s="30">
        <f t="shared" si="3"/>
        <v>4</v>
      </c>
      <c r="S13" s="32"/>
      <c r="T13" s="40"/>
      <c r="U13" s="30" t="str">
        <f t="shared" si="4"/>
        <v/>
      </c>
      <c r="V13" s="32"/>
      <c r="W13" s="40"/>
      <c r="X13" s="30" t="str">
        <f t="shared" si="5"/>
        <v/>
      </c>
      <c r="Y13" s="40">
        <f t="shared" si="6"/>
        <v>8</v>
      </c>
      <c r="Z13" s="30">
        <f t="shared" si="7"/>
        <v>3</v>
      </c>
      <c r="AA13" s="41"/>
      <c r="AB13" s="32" t="s">
        <v>218</v>
      </c>
      <c r="AC13" s="32">
        <v>42</v>
      </c>
      <c r="AD13" s="40">
        <v>4</v>
      </c>
      <c r="AE13" s="30">
        <f t="shared" si="8"/>
        <v>3</v>
      </c>
      <c r="AF13" s="32">
        <v>8</v>
      </c>
      <c r="AG13" s="40">
        <v>4</v>
      </c>
      <c r="AH13" s="30">
        <f t="shared" si="9"/>
        <v>3</v>
      </c>
      <c r="AI13" s="32">
        <v>116</v>
      </c>
      <c r="AJ13" s="40">
        <v>4</v>
      </c>
      <c r="AK13" s="30">
        <f t="shared" si="10"/>
        <v>3</v>
      </c>
      <c r="AL13" s="32"/>
      <c r="AM13" s="40"/>
      <c r="AN13" s="30" t="str">
        <f t="shared" si="11"/>
        <v/>
      </c>
      <c r="AO13" s="32">
        <v>4</v>
      </c>
      <c r="AP13" s="40">
        <v>4</v>
      </c>
      <c r="AQ13" s="30">
        <f t="shared" si="12"/>
        <v>3</v>
      </c>
      <c r="AR13" s="32"/>
      <c r="AS13" s="40"/>
      <c r="AT13" s="30" t="str">
        <f t="shared" si="13"/>
        <v/>
      </c>
      <c r="AU13" s="40">
        <f t="shared" si="14"/>
        <v>16</v>
      </c>
      <c r="AV13" s="30">
        <f t="shared" si="15"/>
        <v>3</v>
      </c>
      <c r="AW13" s="40">
        <f t="shared" si="16"/>
        <v>24</v>
      </c>
      <c r="AX13" s="41"/>
      <c r="AY13" s="32" t="s">
        <v>218</v>
      </c>
      <c r="AZ13" s="31"/>
      <c r="BA13" s="344"/>
      <c r="BB13" s="30">
        <v>2</v>
      </c>
      <c r="BC13" s="31"/>
      <c r="BD13" s="344"/>
      <c r="BE13" s="30">
        <v>2</v>
      </c>
      <c r="BF13" s="31">
        <v>6</v>
      </c>
      <c r="BG13" s="344">
        <v>1</v>
      </c>
      <c r="BH13" s="30">
        <f t="shared" si="17"/>
        <v>3</v>
      </c>
      <c r="BI13" s="31">
        <v>13.3</v>
      </c>
      <c r="BJ13" s="344">
        <v>4</v>
      </c>
      <c r="BK13" s="30">
        <f t="shared" si="18"/>
        <v>3</v>
      </c>
      <c r="BL13" s="31"/>
      <c r="BM13" s="344"/>
      <c r="BN13" s="30" t="str">
        <f t="shared" si="19"/>
        <v/>
      </c>
      <c r="BO13" s="40">
        <f t="shared" si="20"/>
        <v>5</v>
      </c>
      <c r="BP13" s="30">
        <f t="shared" si="21"/>
        <v>3</v>
      </c>
      <c r="BQ13" s="40">
        <f t="shared" si="22"/>
        <v>29</v>
      </c>
      <c r="BR13" s="41"/>
      <c r="BS13" s="31">
        <v>8.4</v>
      </c>
      <c r="BT13" s="344">
        <v>10</v>
      </c>
      <c r="BU13" s="30">
        <f t="shared" si="23"/>
        <v>5</v>
      </c>
      <c r="BV13" s="31">
        <v>9.5399999999999991</v>
      </c>
      <c r="BW13" s="344">
        <v>5</v>
      </c>
      <c r="BX13" s="30">
        <f t="shared" si="24"/>
        <v>4</v>
      </c>
      <c r="BY13" s="31">
        <v>39</v>
      </c>
      <c r="BZ13" s="344">
        <v>4</v>
      </c>
      <c r="CA13" s="30">
        <f t="shared" si="25"/>
        <v>3</v>
      </c>
      <c r="CB13" s="31">
        <v>8</v>
      </c>
      <c r="CC13" s="344">
        <v>1</v>
      </c>
      <c r="CD13" s="349">
        <f t="shared" si="26"/>
        <v>3</v>
      </c>
      <c r="CE13" s="40">
        <f t="shared" si="27"/>
        <v>20</v>
      </c>
      <c r="CF13" s="30">
        <f t="shared" si="28"/>
        <v>4</v>
      </c>
      <c r="CG13" s="40">
        <f t="shared" si="29"/>
        <v>49</v>
      </c>
      <c r="CH13" s="41"/>
      <c r="CI13" s="32" t="s">
        <v>218</v>
      </c>
    </row>
    <row r="14" spans="1:95">
      <c r="A14" s="3"/>
      <c r="B14" s="32" t="s">
        <v>219</v>
      </c>
      <c r="C14" s="48">
        <v>34519</v>
      </c>
      <c r="D14" s="47" t="s">
        <v>19</v>
      </c>
      <c r="E14" s="32">
        <v>175</v>
      </c>
      <c r="F14" s="32">
        <v>96</v>
      </c>
      <c r="G14" s="32">
        <v>97</v>
      </c>
      <c r="H14" s="136">
        <v>1.1579999999999999</v>
      </c>
      <c r="I14" s="151">
        <f t="shared" si="0"/>
        <v>31.346938775510203</v>
      </c>
      <c r="J14" s="10" t="s">
        <v>21</v>
      </c>
      <c r="K14" s="32">
        <f t="shared" si="1"/>
        <v>61.53962573224365</v>
      </c>
      <c r="L14" s="32" t="s">
        <v>219</v>
      </c>
      <c r="M14" s="32"/>
      <c r="N14" s="40"/>
      <c r="O14" s="30" t="str">
        <f t="shared" si="2"/>
        <v/>
      </c>
      <c r="P14" s="32">
        <v>5.5</v>
      </c>
      <c r="Q14" s="40">
        <v>1</v>
      </c>
      <c r="R14" s="30">
        <f t="shared" si="3"/>
        <v>3</v>
      </c>
      <c r="S14" s="32">
        <v>12</v>
      </c>
      <c r="T14" s="40">
        <v>0</v>
      </c>
      <c r="U14" s="30">
        <f t="shared" si="4"/>
        <v>2</v>
      </c>
      <c r="V14" s="32">
        <v>1250</v>
      </c>
      <c r="W14" s="40">
        <v>3</v>
      </c>
      <c r="X14" s="30">
        <f t="shared" si="5"/>
        <v>3</v>
      </c>
      <c r="Y14" s="40">
        <f t="shared" si="6"/>
        <v>4</v>
      </c>
      <c r="Z14" s="30">
        <f t="shared" si="7"/>
        <v>3</v>
      </c>
      <c r="AA14" s="41"/>
      <c r="AB14" s="32" t="s">
        <v>219</v>
      </c>
      <c r="AC14" s="32">
        <v>42</v>
      </c>
      <c r="AD14" s="40">
        <v>4</v>
      </c>
      <c r="AE14" s="30">
        <f t="shared" si="8"/>
        <v>3</v>
      </c>
      <c r="AF14" s="32">
        <v>-10</v>
      </c>
      <c r="AG14" s="40">
        <v>0</v>
      </c>
      <c r="AH14" s="30">
        <f t="shared" si="9"/>
        <v>2</v>
      </c>
      <c r="AI14" s="32">
        <v>57</v>
      </c>
      <c r="AJ14" s="40">
        <v>0</v>
      </c>
      <c r="AK14" s="30">
        <f t="shared" si="10"/>
        <v>2</v>
      </c>
      <c r="AL14" s="32"/>
      <c r="AM14" s="40"/>
      <c r="AN14" s="30" t="str">
        <f t="shared" si="11"/>
        <v/>
      </c>
      <c r="AO14" s="32">
        <v>4</v>
      </c>
      <c r="AP14" s="40">
        <v>4</v>
      </c>
      <c r="AQ14" s="30">
        <f t="shared" si="12"/>
        <v>3</v>
      </c>
      <c r="AR14" s="32"/>
      <c r="AS14" s="40"/>
      <c r="AT14" s="30" t="str">
        <f t="shared" si="13"/>
        <v/>
      </c>
      <c r="AU14" s="40">
        <f t="shared" si="14"/>
        <v>8</v>
      </c>
      <c r="AV14" s="30">
        <f t="shared" si="15"/>
        <v>3</v>
      </c>
      <c r="AW14" s="40">
        <f t="shared" si="16"/>
        <v>12</v>
      </c>
      <c r="AX14" s="41"/>
      <c r="AY14" s="32" t="s">
        <v>219</v>
      </c>
      <c r="AZ14" s="31"/>
      <c r="BA14" s="344"/>
      <c r="BB14" s="30">
        <v>2</v>
      </c>
      <c r="BC14" s="31"/>
      <c r="BD14" s="344"/>
      <c r="BE14" s="30">
        <v>2</v>
      </c>
      <c r="BF14" s="31">
        <v>12</v>
      </c>
      <c r="BG14" s="344">
        <v>12</v>
      </c>
      <c r="BH14" s="30">
        <f t="shared" si="17"/>
        <v>5</v>
      </c>
      <c r="BI14" s="31">
        <v>13.700000000000001</v>
      </c>
      <c r="BJ14" s="344">
        <v>2</v>
      </c>
      <c r="BK14" s="30">
        <f t="shared" si="18"/>
        <v>3</v>
      </c>
      <c r="BL14" s="31"/>
      <c r="BM14" s="344"/>
      <c r="BN14" s="30" t="str">
        <f t="shared" si="19"/>
        <v/>
      </c>
      <c r="BO14" s="40">
        <f t="shared" si="20"/>
        <v>14</v>
      </c>
      <c r="BP14" s="30">
        <f t="shared" si="21"/>
        <v>3</v>
      </c>
      <c r="BQ14" s="40">
        <f t="shared" si="22"/>
        <v>26</v>
      </c>
      <c r="BR14" s="41"/>
      <c r="BS14" s="31">
        <v>11.1</v>
      </c>
      <c r="BT14" s="344">
        <v>0</v>
      </c>
      <c r="BU14" s="30">
        <f t="shared" si="23"/>
        <v>2</v>
      </c>
      <c r="BV14" s="31"/>
      <c r="BW14" s="344"/>
      <c r="BX14" s="30" t="str">
        <f t="shared" si="24"/>
        <v/>
      </c>
      <c r="BY14" s="31">
        <v>39</v>
      </c>
      <c r="BZ14" s="344">
        <v>4</v>
      </c>
      <c r="CA14" s="30">
        <f t="shared" si="25"/>
        <v>3</v>
      </c>
      <c r="CB14" s="31">
        <v>8</v>
      </c>
      <c r="CC14" s="344">
        <v>1</v>
      </c>
      <c r="CD14" s="349">
        <f t="shared" si="26"/>
        <v>3</v>
      </c>
      <c r="CE14" s="40">
        <f t="shared" si="27"/>
        <v>5</v>
      </c>
      <c r="CF14" s="30">
        <f t="shared" si="28"/>
        <v>3</v>
      </c>
      <c r="CG14" s="40">
        <f t="shared" si="29"/>
        <v>31</v>
      </c>
      <c r="CH14" s="41"/>
      <c r="CI14" s="32" t="s">
        <v>219</v>
      </c>
    </row>
    <row r="15" spans="1:95">
      <c r="A15" s="8"/>
      <c r="B15" s="167"/>
      <c r="C15" s="168"/>
      <c r="D15" s="169"/>
      <c r="E15" s="170"/>
      <c r="F15" s="170"/>
      <c r="G15" s="170"/>
      <c r="H15" s="170"/>
      <c r="I15" s="170"/>
      <c r="J15" s="169"/>
      <c r="K15" s="170"/>
      <c r="L15" s="167"/>
      <c r="M15" s="171"/>
      <c r="N15" s="172"/>
      <c r="O15" s="173"/>
      <c r="P15" s="171"/>
      <c r="Q15" s="172"/>
      <c r="R15" s="173"/>
      <c r="S15" s="171"/>
      <c r="T15" s="172"/>
      <c r="U15" s="173"/>
      <c r="V15" s="171"/>
      <c r="W15" s="172"/>
      <c r="X15" s="173"/>
      <c r="Y15" s="172"/>
      <c r="Z15" s="173"/>
      <c r="AA15" s="123"/>
      <c r="AB15" s="167"/>
      <c r="AC15" s="170"/>
      <c r="AD15" s="174"/>
      <c r="AE15" s="123"/>
      <c r="AF15" s="170"/>
      <c r="AG15" s="174"/>
      <c r="AH15" s="123"/>
      <c r="AI15" s="170"/>
      <c r="AJ15" s="174"/>
      <c r="AK15" s="123"/>
      <c r="AL15" s="170"/>
      <c r="AM15" s="174"/>
      <c r="AN15" s="123"/>
      <c r="AO15" s="170"/>
      <c r="AP15" s="174"/>
      <c r="AQ15" s="123"/>
      <c r="AR15" s="170"/>
      <c r="AS15" s="174"/>
      <c r="AT15" s="123"/>
      <c r="AU15" s="174"/>
      <c r="AV15" s="123"/>
      <c r="AW15" s="174"/>
      <c r="AX15" s="174"/>
      <c r="AY15" s="167"/>
      <c r="AZ15" s="175"/>
      <c r="BA15" s="353"/>
      <c r="BB15" s="176"/>
      <c r="BC15" s="176"/>
      <c r="BD15" s="353"/>
      <c r="BE15" s="176"/>
      <c r="BF15" s="176"/>
      <c r="BG15" s="354"/>
      <c r="BH15" s="125"/>
      <c r="BI15" s="80"/>
      <c r="BJ15" s="354"/>
      <c r="BK15" s="125"/>
      <c r="BL15" s="80"/>
      <c r="BM15" s="354"/>
      <c r="BN15" s="125"/>
      <c r="BO15" s="177"/>
      <c r="BP15" s="125"/>
      <c r="BQ15" s="177"/>
      <c r="BR15" s="177"/>
      <c r="BS15" s="80"/>
      <c r="BT15" s="353"/>
      <c r="BU15" s="176"/>
      <c r="BV15" s="176"/>
      <c r="BW15" s="353"/>
      <c r="BX15" s="176"/>
      <c r="BY15" s="176"/>
      <c r="BZ15" s="353"/>
      <c r="CA15" s="176"/>
      <c r="CB15" s="176"/>
      <c r="CC15" s="353"/>
      <c r="CD15" s="353"/>
      <c r="CE15" s="176"/>
      <c r="CF15" s="176"/>
      <c r="CG15" s="176"/>
      <c r="CH15" s="241"/>
      <c r="CI15" s="167"/>
    </row>
    <row r="16" spans="1:95">
      <c r="A16" s="3"/>
      <c r="B16" s="166" t="s">
        <v>220</v>
      </c>
      <c r="C16" s="48">
        <v>33680</v>
      </c>
      <c r="D16" s="47" t="s">
        <v>19</v>
      </c>
      <c r="E16" s="32">
        <v>156</v>
      </c>
      <c r="F16" s="32">
        <v>49</v>
      </c>
      <c r="G16" s="32">
        <v>69</v>
      </c>
      <c r="H16" s="136">
        <v>1.036</v>
      </c>
      <c r="I16" s="151">
        <f t="shared" ref="I16:I25" si="30">F16/(E16/100)^2</f>
        <v>20.134779750164363</v>
      </c>
      <c r="J16" s="43" t="s">
        <v>30</v>
      </c>
      <c r="K16" s="32">
        <f t="shared" ref="K16:K25" si="31">((E16-F16)*E16)/(H16*2*G16)</f>
        <v>116.753399362095</v>
      </c>
      <c r="L16" s="166" t="s">
        <v>220</v>
      </c>
      <c r="M16" s="32">
        <v>187</v>
      </c>
      <c r="N16" s="349">
        <v>12</v>
      </c>
      <c r="O16" s="30">
        <f t="shared" ref="O16:O25" si="32">IF(M16=0,"",IF(M16&lt;170,2,IF(AND(M16&gt;=170,M16&lt;178),3,IF(AND(M16&gt;=178,M16&lt;185),4,IF(AND(M16&gt;=185),5)))))</f>
        <v>5</v>
      </c>
      <c r="P16" s="32">
        <v>4.5</v>
      </c>
      <c r="Q16" s="40">
        <v>20</v>
      </c>
      <c r="R16" s="30">
        <f t="shared" ref="R16:R25" si="33">IF(P16=0,"",IF(P16&gt;5.9,2,IF(AND(P16&lt;=5.9,P16&gt;5.5),3,IF(AND(P16&lt;=5.5,P16&gt;5.1),4,IF(AND(P16&lt;=5.1),5)))))</f>
        <v>5</v>
      </c>
      <c r="S16" s="32">
        <v>10.1</v>
      </c>
      <c r="T16" s="40">
        <v>20</v>
      </c>
      <c r="U16" s="30">
        <f t="shared" ref="U16:U25" si="34">IF(S16=0,"",IF(S16&gt;11,2,IF(AND(S16&lt;=11,S16&gt;10.8),3,IF(AND(S16&lt;=10.8,S16&gt;10.4),4,IF(AND(S16&lt;=10.4),5)))))</f>
        <v>5</v>
      </c>
      <c r="V16" s="32">
        <v>1550</v>
      </c>
      <c r="W16" s="40">
        <v>20</v>
      </c>
      <c r="X16" s="30">
        <f t="shared" ref="X16:X25" si="35">IF(V16=0,"",IF(V16&lt;1000,2,IF(AND(V16&gt;=1000,V16&lt;1110),3,IF(AND(V16&gt;=1110,V16&lt;1200),4,IF(AND(V16&gt;=1200),5)))))</f>
        <v>5</v>
      </c>
      <c r="Y16" s="40">
        <f t="shared" ref="Y16:Y25" si="36">SUM(N16,Q16,T16,W16)</f>
        <v>72</v>
      </c>
      <c r="Z16" s="30">
        <f t="shared" ref="Z16:Z25" si="37">IF(Y16=0,"",IF(Y16&lt;4,2,IF(AND(Y16&gt;=4,Y16&lt;16),3,IF(AND(Y16&gt;=16,Y16&lt;30),4,IF(AND(Y16&gt;=30),5)))))</f>
        <v>5</v>
      </c>
      <c r="AA16" s="238">
        <v>5</v>
      </c>
      <c r="AB16" s="166" t="s">
        <v>220</v>
      </c>
      <c r="AC16" s="32">
        <v>40</v>
      </c>
      <c r="AD16" s="40">
        <v>20</v>
      </c>
      <c r="AE16" s="30">
        <f t="shared" ref="AE16:AE25" si="38">IF(AC16=0,"",IF(AC16&lt;25,2,IF(AND(AC16&gt;=25,AC16&lt;30),3,IF(AND(AC16&gt;=30,AC16&lt;35),4,IF(AND(AC16&gt;=35),5)))))</f>
        <v>5</v>
      </c>
      <c r="AF16" s="32">
        <v>19</v>
      </c>
      <c r="AG16" s="40">
        <v>14</v>
      </c>
      <c r="AH16" s="30">
        <f t="shared" ref="AH16:AH25" si="39">IF(AF16=0,"",IF(AF16&lt;11,2,IF(AND(AF16&gt;=11,AF16&lt;14),3,IF(AND(AF16&gt;=14,AF16&lt;18),4,IF(AND(AF16&gt;=18),5)))))</f>
        <v>5</v>
      </c>
      <c r="AI16" s="32">
        <v>159</v>
      </c>
      <c r="AJ16" s="40">
        <v>19</v>
      </c>
      <c r="AK16" s="30">
        <f t="shared" ref="AK16:AK25" si="40">IF(AI16=0,"",IF(AI16&lt;60,2,IF(AND(AI16&gt;=60,AI16&lt;90),3,IF(AND(AI16&gt;=90,AI16&lt;130),4,IF(AND(AI16&gt;=130),5)))))</f>
        <v>5</v>
      </c>
      <c r="AL16" s="32">
        <v>16</v>
      </c>
      <c r="AM16" s="40">
        <v>20</v>
      </c>
      <c r="AN16" s="30">
        <f t="shared" ref="AN16:AN25" si="41">IF(AL16=0,"",IF(AL16&lt;2,2,IF(AND(AL16&gt;=2,AL16&lt;4),3,IF(AND(AL16&gt;=4,AL16&lt;7),4,IF(AND(AL16&gt;=7),5)))))</f>
        <v>5</v>
      </c>
      <c r="AO16" s="32">
        <v>16</v>
      </c>
      <c r="AP16" s="40">
        <v>16</v>
      </c>
      <c r="AQ16" s="30">
        <f t="shared" ref="AQ16:AQ25" si="42">IF(AO16=0,"",IF(AO16&lt;1,2,IF(AND(AO16&gt;=1,AO16&lt;5),3,IF(AND(AO16&gt;=5,AO16&lt;10),4,IF(AND(AO16&gt;=10),5)))))</f>
        <v>5</v>
      </c>
      <c r="AR16" s="32">
        <v>8</v>
      </c>
      <c r="AS16" s="40">
        <v>8</v>
      </c>
      <c r="AT16" s="30">
        <f t="shared" ref="AT16:AT25" si="43">IF(AR16=0,"",IF(AR16&lt;1,2,IF(AND(AR16&gt;=1,AR16&lt;5),3,IF(AND(AR16&gt;=5,AR16&lt;10),4,IF(AND(AR16&gt;=10),5)))))</f>
        <v>4</v>
      </c>
      <c r="AU16" s="40">
        <f t="shared" ref="AU16:AU25" si="44">SUM(AD16,AG16,AJ16,AM16,AP16,AS16)</f>
        <v>97</v>
      </c>
      <c r="AV16" s="30">
        <f t="shared" ref="AV16:AV25" si="45">IF(AU16=0,"",IF(AU16&lt;6,2,IF(AND(AU16&gt;=6,AU16&lt;20),3,IF(AND(AU16&gt;=20,AU16&lt;46),4,IF(AND(AU16&gt;=46),5)))))</f>
        <v>5</v>
      </c>
      <c r="AW16" s="40">
        <f t="shared" ref="AW16:AW25" si="46">SUM(Y16,AU16)</f>
        <v>169</v>
      </c>
      <c r="AX16" s="141"/>
      <c r="AY16" s="166" t="s">
        <v>220</v>
      </c>
      <c r="AZ16" s="31">
        <v>9.23</v>
      </c>
      <c r="BA16" s="344">
        <v>5</v>
      </c>
      <c r="BB16" s="30">
        <v>4</v>
      </c>
      <c r="BC16" s="31">
        <v>21.32</v>
      </c>
      <c r="BD16" s="344">
        <v>5</v>
      </c>
      <c r="BE16" s="30">
        <v>4</v>
      </c>
      <c r="BF16" s="31">
        <v>11</v>
      </c>
      <c r="BG16" s="343">
        <v>11</v>
      </c>
      <c r="BH16" s="33">
        <f t="shared" ref="BH16:BH25" si="47">IF(BF16=0,"",IF(BF16&lt;6,2,IF(AND(BF16&gt;=6,BF16&lt;8),3,IF(AND(BF16&gt;=8,BF16&lt;10),4,IF(AND(BF16&gt;=10),5)))))</f>
        <v>5</v>
      </c>
      <c r="BI16" s="65">
        <v>12.3</v>
      </c>
      <c r="BJ16" s="343">
        <v>19</v>
      </c>
      <c r="BK16" s="33">
        <f t="shared" ref="BK16:BK25" si="48">IF(BI16=0,"",IF(BI16&gt;16,2,IF(AND(BI16&lt;=16,BI16&gt;14.6),3,IF(AND(BI16&lt;=14.6,BI16&gt;13.6),4,IF(AND(BI16&lt;=13.6),5)))))</f>
        <v>5</v>
      </c>
      <c r="BL16" s="65">
        <v>6</v>
      </c>
      <c r="BM16" s="343">
        <v>10</v>
      </c>
      <c r="BN16" s="33">
        <f t="shared" ref="BN16:BN25" si="49">IF(BL16=0,"",IF(BL16&lt;3,2,IF(AND(BL16&gt;=3,BL16&lt;4),3,IF(AND(BL16&gt;=4,BL16&lt;6),4,IF(AND(BL16&gt;=6),5)))))</f>
        <v>5</v>
      </c>
      <c r="BO16" s="66">
        <f t="shared" ref="BO16:BO25" si="50">SUM(BA16,BD16,BG16,BJ16,BM16)</f>
        <v>50</v>
      </c>
      <c r="BP16" s="33">
        <f t="shared" ref="BP16:BP25" si="51">IF(BO16=0,"",IF(BO16&lt;5,2,IF(AND(BO16&gt;=5,BO16&lt;17),3,IF(AND(BO16&gt;=17,BO16&lt;40),4,IF(AND(BO16&gt;=40),5)))))</f>
        <v>5</v>
      </c>
      <c r="BQ16" s="66">
        <f t="shared" ref="BQ16:BQ25" si="52">SUM(AW16,BO16)</f>
        <v>219</v>
      </c>
      <c r="BR16" s="41"/>
      <c r="BS16" s="65">
        <v>8.8000000000000007</v>
      </c>
      <c r="BT16" s="344">
        <v>20</v>
      </c>
      <c r="BU16" s="30">
        <f t="shared" ref="BU16:BU25" si="53">IF(BS16=0,"",IF(BS16&gt;10.5,2,IF(AND(BS16&lt;=10.5,BS16&gt;10),3,IF(AND(BS16&lt;=10,BS16&gt;9.4),4,IF(AND(BS16&lt;=9.4),5)))))</f>
        <v>5</v>
      </c>
      <c r="BV16" s="31">
        <v>9.41</v>
      </c>
      <c r="BW16" s="344">
        <v>20</v>
      </c>
      <c r="BX16" s="30">
        <f t="shared" ref="BX16:BX25" si="54">IF(BV16=0,"",IF(BV16&gt;13,2,IF(AND(BV16&lt;=13,BV16&gt;12),3,IF(AND(BV16&lt;=12,BV16&gt;10.2),4,IF(AND(BV16&lt;=10.2),5)))))</f>
        <v>5</v>
      </c>
      <c r="BY16" s="31">
        <v>36</v>
      </c>
      <c r="BZ16" s="344">
        <v>20</v>
      </c>
      <c r="CA16" s="30">
        <f t="shared" ref="CA16:CA25" si="55">IF(BY16=0,"",IF(BY16&lt;18,2,IF(AND(BY16&gt;=18,BY16&lt;23),3,IF(AND(BY16&gt;=23,BY16&lt;28),4,IF(AND(BY16&gt;=28),5)))))</f>
        <v>5</v>
      </c>
      <c r="CB16" s="31">
        <v>9</v>
      </c>
      <c r="CC16" s="344">
        <v>10</v>
      </c>
      <c r="CD16" s="349">
        <f t="shared" ref="CD16:CD25" si="56">IF(CB16=0,"",IF(CB16&lt;3,2,IF(AND(CB16&gt;=3,CB16&lt;5),3,IF(AND(CB16&gt;=5,CB16&lt;9),4,IF(AND(CB16&gt;=9),5)))))</f>
        <v>5</v>
      </c>
      <c r="CE16" s="40">
        <f t="shared" ref="CE16:CE25" si="57">SUM(BT16,BW16,BZ16,CC16)</f>
        <v>70</v>
      </c>
      <c r="CF16" s="30">
        <f t="shared" ref="CF16:CF25" si="58">IF(CE16=0,"",IF(CE16&lt;4,2,IF(AND(CE16&gt;=4,CE16&lt;16),3,IF(AND(CE16&gt;=16,CE16&lt;30),4,IF(AND(CE16&gt;=30),5)))))</f>
        <v>5</v>
      </c>
      <c r="CG16" s="40">
        <f t="shared" ref="CG16:CG25" si="59">SUM(BQ16,CE16)</f>
        <v>289</v>
      </c>
      <c r="CH16" s="223">
        <v>5</v>
      </c>
      <c r="CI16" s="166" t="s">
        <v>220</v>
      </c>
    </row>
    <row r="17" spans="1:87">
      <c r="A17" s="3"/>
      <c r="B17" s="32" t="s">
        <v>221</v>
      </c>
      <c r="C17" s="48">
        <v>34583</v>
      </c>
      <c r="D17" s="47" t="s">
        <v>19</v>
      </c>
      <c r="E17" s="32">
        <v>174</v>
      </c>
      <c r="F17" s="32">
        <v>61</v>
      </c>
      <c r="G17" s="32">
        <v>75</v>
      </c>
      <c r="H17" s="136">
        <v>1.091</v>
      </c>
      <c r="I17" s="151">
        <f t="shared" si="30"/>
        <v>20.147971991015986</v>
      </c>
      <c r="J17" s="10" t="s">
        <v>26</v>
      </c>
      <c r="K17" s="32">
        <f t="shared" si="31"/>
        <v>120.14665444546287</v>
      </c>
      <c r="L17" s="32" t="s">
        <v>221</v>
      </c>
      <c r="M17" s="3">
        <v>198</v>
      </c>
      <c r="N17" s="355">
        <v>20</v>
      </c>
      <c r="O17" s="30">
        <f t="shared" si="32"/>
        <v>5</v>
      </c>
      <c r="P17" s="32">
        <v>4.4000000000000004</v>
      </c>
      <c r="Q17" s="40">
        <v>20</v>
      </c>
      <c r="R17" s="30">
        <f t="shared" si="33"/>
        <v>5</v>
      </c>
      <c r="S17" s="32">
        <v>10.5</v>
      </c>
      <c r="T17" s="40">
        <v>9</v>
      </c>
      <c r="U17" s="30">
        <f t="shared" si="34"/>
        <v>4</v>
      </c>
      <c r="V17" s="32">
        <v>1550</v>
      </c>
      <c r="W17" s="40">
        <v>20</v>
      </c>
      <c r="X17" s="30">
        <f t="shared" si="35"/>
        <v>5</v>
      </c>
      <c r="Y17" s="40">
        <f t="shared" si="36"/>
        <v>69</v>
      </c>
      <c r="Z17" s="30">
        <f t="shared" si="37"/>
        <v>5</v>
      </c>
      <c r="AA17" s="41"/>
      <c r="AB17" s="32" t="s">
        <v>221</v>
      </c>
      <c r="AC17" s="32">
        <v>40</v>
      </c>
      <c r="AD17" s="40">
        <v>20</v>
      </c>
      <c r="AE17" s="30">
        <f t="shared" si="38"/>
        <v>5</v>
      </c>
      <c r="AF17" s="32">
        <v>30</v>
      </c>
      <c r="AG17" s="40">
        <v>20</v>
      </c>
      <c r="AH17" s="30">
        <f t="shared" si="39"/>
        <v>5</v>
      </c>
      <c r="AI17" s="32">
        <v>148</v>
      </c>
      <c r="AJ17" s="40">
        <v>14</v>
      </c>
      <c r="AK17" s="30">
        <f t="shared" si="40"/>
        <v>5</v>
      </c>
      <c r="AL17" s="32">
        <v>1</v>
      </c>
      <c r="AM17" s="40">
        <v>0</v>
      </c>
      <c r="AN17" s="30">
        <f t="shared" si="41"/>
        <v>2</v>
      </c>
      <c r="AO17" s="32">
        <v>18</v>
      </c>
      <c r="AP17" s="40">
        <v>18</v>
      </c>
      <c r="AQ17" s="30">
        <f t="shared" si="42"/>
        <v>5</v>
      </c>
      <c r="AR17" s="32">
        <v>8</v>
      </c>
      <c r="AS17" s="40">
        <v>8</v>
      </c>
      <c r="AT17" s="30">
        <f t="shared" si="43"/>
        <v>4</v>
      </c>
      <c r="AU17" s="40">
        <f t="shared" si="44"/>
        <v>80</v>
      </c>
      <c r="AV17" s="30">
        <f t="shared" si="45"/>
        <v>5</v>
      </c>
      <c r="AW17" s="40">
        <f t="shared" si="46"/>
        <v>149</v>
      </c>
      <c r="AX17" s="41"/>
      <c r="AY17" s="32" t="s">
        <v>221</v>
      </c>
      <c r="AZ17" s="31"/>
      <c r="BA17" s="344"/>
      <c r="BB17" s="30">
        <v>5</v>
      </c>
      <c r="BC17" s="31"/>
      <c r="BD17" s="344">
        <v>5</v>
      </c>
      <c r="BE17" s="30">
        <v>4</v>
      </c>
      <c r="BF17" s="31">
        <v>20</v>
      </c>
      <c r="BG17" s="344">
        <v>20</v>
      </c>
      <c r="BH17" s="30">
        <f t="shared" si="47"/>
        <v>5</v>
      </c>
      <c r="BI17" s="31">
        <v>12.3</v>
      </c>
      <c r="BJ17" s="344">
        <v>19</v>
      </c>
      <c r="BK17" s="30">
        <f t="shared" si="48"/>
        <v>5</v>
      </c>
      <c r="BL17" s="31">
        <v>9</v>
      </c>
      <c r="BM17" s="344">
        <v>20</v>
      </c>
      <c r="BN17" s="30">
        <f t="shared" si="49"/>
        <v>5</v>
      </c>
      <c r="BO17" s="40">
        <f t="shared" si="50"/>
        <v>64</v>
      </c>
      <c r="BP17" s="30">
        <f t="shared" si="51"/>
        <v>5</v>
      </c>
      <c r="BQ17" s="40">
        <f t="shared" si="52"/>
        <v>213</v>
      </c>
      <c r="BR17" s="41"/>
      <c r="BS17" s="31">
        <v>8.9</v>
      </c>
      <c r="BT17" s="344">
        <v>20</v>
      </c>
      <c r="BU17" s="30">
        <f t="shared" si="53"/>
        <v>5</v>
      </c>
      <c r="BV17" s="31">
        <v>9.3000000000000007</v>
      </c>
      <c r="BW17" s="344">
        <v>20</v>
      </c>
      <c r="BX17" s="30">
        <f t="shared" si="54"/>
        <v>5</v>
      </c>
      <c r="BY17" s="31">
        <v>34</v>
      </c>
      <c r="BZ17" s="344">
        <v>19</v>
      </c>
      <c r="CA17" s="30">
        <f t="shared" si="55"/>
        <v>5</v>
      </c>
      <c r="CB17" s="31">
        <v>9</v>
      </c>
      <c r="CC17" s="344">
        <v>10</v>
      </c>
      <c r="CD17" s="349">
        <f t="shared" si="56"/>
        <v>5</v>
      </c>
      <c r="CE17" s="40">
        <f t="shared" si="57"/>
        <v>69</v>
      </c>
      <c r="CF17" s="30">
        <f t="shared" si="58"/>
        <v>5</v>
      </c>
      <c r="CG17" s="40">
        <f t="shared" si="59"/>
        <v>282</v>
      </c>
      <c r="CH17" s="223">
        <v>5</v>
      </c>
      <c r="CI17" s="32" t="s">
        <v>221</v>
      </c>
    </row>
    <row r="18" spans="1:87">
      <c r="A18" s="3"/>
      <c r="B18" s="45" t="s">
        <v>222</v>
      </c>
      <c r="C18" s="48">
        <v>34277</v>
      </c>
      <c r="D18" s="47" t="s">
        <v>19</v>
      </c>
      <c r="E18" s="32">
        <v>158</v>
      </c>
      <c r="F18" s="32">
        <v>55</v>
      </c>
      <c r="G18" s="32">
        <v>73</v>
      </c>
      <c r="H18" s="136">
        <v>1.0669999999999999</v>
      </c>
      <c r="I18" s="151">
        <f t="shared" si="30"/>
        <v>22.031725684986377</v>
      </c>
      <c r="J18" s="43" t="s">
        <v>24</v>
      </c>
      <c r="K18" s="32">
        <f t="shared" si="31"/>
        <v>104.46649805497427</v>
      </c>
      <c r="L18" s="45" t="s">
        <v>222</v>
      </c>
      <c r="M18" s="32">
        <v>178</v>
      </c>
      <c r="N18" s="349">
        <v>5</v>
      </c>
      <c r="O18" s="30">
        <f t="shared" si="32"/>
        <v>4</v>
      </c>
      <c r="P18" s="32">
        <v>4.3</v>
      </c>
      <c r="Q18" s="40">
        <v>20</v>
      </c>
      <c r="R18" s="30">
        <f t="shared" si="33"/>
        <v>5</v>
      </c>
      <c r="S18" s="32">
        <v>10.8</v>
      </c>
      <c r="T18" s="40">
        <v>5</v>
      </c>
      <c r="U18" s="30">
        <f t="shared" si="34"/>
        <v>4</v>
      </c>
      <c r="V18" s="32">
        <v>1300</v>
      </c>
      <c r="W18" s="40">
        <v>20</v>
      </c>
      <c r="X18" s="30">
        <f t="shared" si="35"/>
        <v>5</v>
      </c>
      <c r="Y18" s="40">
        <f t="shared" si="36"/>
        <v>50</v>
      </c>
      <c r="Z18" s="30">
        <f t="shared" si="37"/>
        <v>5</v>
      </c>
      <c r="AA18" s="41"/>
      <c r="AB18" s="45" t="s">
        <v>222</v>
      </c>
      <c r="AC18" s="32">
        <v>47</v>
      </c>
      <c r="AD18" s="40">
        <v>20</v>
      </c>
      <c r="AE18" s="30">
        <f t="shared" si="38"/>
        <v>5</v>
      </c>
      <c r="AF18" s="32">
        <v>24</v>
      </c>
      <c r="AG18" s="40">
        <v>20</v>
      </c>
      <c r="AH18" s="30">
        <f t="shared" si="39"/>
        <v>5</v>
      </c>
      <c r="AI18" s="32">
        <v>132</v>
      </c>
      <c r="AJ18" s="40">
        <v>10</v>
      </c>
      <c r="AK18" s="30">
        <f t="shared" si="40"/>
        <v>5</v>
      </c>
      <c r="AL18" s="32">
        <v>7</v>
      </c>
      <c r="AM18" s="40">
        <v>10</v>
      </c>
      <c r="AN18" s="30">
        <f t="shared" si="41"/>
        <v>5</v>
      </c>
      <c r="AO18" s="32">
        <v>18</v>
      </c>
      <c r="AP18" s="40">
        <v>18</v>
      </c>
      <c r="AQ18" s="30">
        <f t="shared" si="42"/>
        <v>5</v>
      </c>
      <c r="AR18" s="32">
        <v>8</v>
      </c>
      <c r="AS18" s="40">
        <v>8</v>
      </c>
      <c r="AT18" s="30">
        <f t="shared" si="43"/>
        <v>4</v>
      </c>
      <c r="AU18" s="40">
        <f t="shared" si="44"/>
        <v>86</v>
      </c>
      <c r="AV18" s="30">
        <f t="shared" si="45"/>
        <v>5</v>
      </c>
      <c r="AW18" s="40">
        <f t="shared" si="46"/>
        <v>136</v>
      </c>
      <c r="AX18" s="41"/>
      <c r="AY18" s="45" t="s">
        <v>222</v>
      </c>
      <c r="AZ18" s="31"/>
      <c r="BA18" s="344"/>
      <c r="BB18" s="30"/>
      <c r="BC18" s="31"/>
      <c r="BD18" s="344"/>
      <c r="BE18" s="30"/>
      <c r="BF18" s="31">
        <v>2</v>
      </c>
      <c r="BG18" s="344">
        <v>0</v>
      </c>
      <c r="BH18" s="30">
        <f t="shared" si="47"/>
        <v>2</v>
      </c>
      <c r="BI18" s="31">
        <v>13.1</v>
      </c>
      <c r="BJ18" s="344">
        <v>12</v>
      </c>
      <c r="BK18" s="30">
        <f t="shared" si="48"/>
        <v>5</v>
      </c>
      <c r="BL18" s="31">
        <v>4</v>
      </c>
      <c r="BM18" s="344">
        <v>5</v>
      </c>
      <c r="BN18" s="30">
        <f t="shared" si="49"/>
        <v>4</v>
      </c>
      <c r="BO18" s="40">
        <f t="shared" si="50"/>
        <v>17</v>
      </c>
      <c r="BP18" s="30">
        <f t="shared" si="51"/>
        <v>4</v>
      </c>
      <c r="BQ18" s="40">
        <f t="shared" si="52"/>
        <v>153</v>
      </c>
      <c r="BR18" s="41"/>
      <c r="BS18" s="31">
        <v>9.1</v>
      </c>
      <c r="BT18" s="344">
        <v>18</v>
      </c>
      <c r="BU18" s="30">
        <f t="shared" si="53"/>
        <v>5</v>
      </c>
      <c r="BV18" s="31">
        <v>12.12</v>
      </c>
      <c r="BW18" s="344">
        <v>4</v>
      </c>
      <c r="BX18" s="30">
        <f t="shared" si="54"/>
        <v>3</v>
      </c>
      <c r="BY18" s="31">
        <v>19</v>
      </c>
      <c r="BZ18" s="344">
        <v>1</v>
      </c>
      <c r="CA18" s="30">
        <f t="shared" si="55"/>
        <v>3</v>
      </c>
      <c r="CB18" s="31">
        <v>15</v>
      </c>
      <c r="CC18" s="344">
        <v>20</v>
      </c>
      <c r="CD18" s="349">
        <f t="shared" si="56"/>
        <v>5</v>
      </c>
      <c r="CE18" s="40">
        <f t="shared" si="57"/>
        <v>43</v>
      </c>
      <c r="CF18" s="30">
        <f t="shared" si="58"/>
        <v>5</v>
      </c>
      <c r="CG18" s="40">
        <f t="shared" si="59"/>
        <v>196</v>
      </c>
      <c r="CH18" s="41"/>
      <c r="CI18" s="45" t="s">
        <v>222</v>
      </c>
    </row>
    <row r="19" spans="1:87">
      <c r="A19" s="3"/>
      <c r="B19" s="32" t="s">
        <v>223</v>
      </c>
      <c r="C19" s="48">
        <v>34239</v>
      </c>
      <c r="D19" s="47" t="s">
        <v>19</v>
      </c>
      <c r="E19" s="32">
        <v>167</v>
      </c>
      <c r="F19" s="32">
        <v>63</v>
      </c>
      <c r="G19" s="32">
        <v>83</v>
      </c>
      <c r="H19" s="136">
        <v>1.0669999999999999</v>
      </c>
      <c r="I19" s="151">
        <f t="shared" si="30"/>
        <v>22.589551436050055</v>
      </c>
      <c r="J19" s="43" t="s">
        <v>24</v>
      </c>
      <c r="K19" s="32">
        <f t="shared" si="31"/>
        <v>98.05670667675389</v>
      </c>
      <c r="L19" s="32" t="s">
        <v>223</v>
      </c>
      <c r="M19" s="32">
        <v>153</v>
      </c>
      <c r="N19" s="349">
        <v>0</v>
      </c>
      <c r="O19" s="30">
        <f t="shared" si="32"/>
        <v>2</v>
      </c>
      <c r="P19" s="32">
        <v>4.8</v>
      </c>
      <c r="Q19" s="40">
        <v>16</v>
      </c>
      <c r="R19" s="30">
        <f t="shared" si="33"/>
        <v>5</v>
      </c>
      <c r="S19" s="32">
        <v>10.5</v>
      </c>
      <c r="T19" s="40">
        <v>9</v>
      </c>
      <c r="U19" s="30">
        <f t="shared" si="34"/>
        <v>4</v>
      </c>
      <c r="V19" s="32">
        <v>1110</v>
      </c>
      <c r="W19" s="40">
        <v>5</v>
      </c>
      <c r="X19" s="30">
        <f t="shared" si="35"/>
        <v>4</v>
      </c>
      <c r="Y19" s="40">
        <f t="shared" si="36"/>
        <v>30</v>
      </c>
      <c r="Z19" s="30">
        <f t="shared" si="37"/>
        <v>5</v>
      </c>
      <c r="AA19" s="41"/>
      <c r="AB19" s="32" t="s">
        <v>223</v>
      </c>
      <c r="AC19" s="32">
        <v>33</v>
      </c>
      <c r="AD19" s="40">
        <v>8</v>
      </c>
      <c r="AE19" s="30">
        <f t="shared" si="38"/>
        <v>4</v>
      </c>
      <c r="AF19" s="32">
        <v>20</v>
      </c>
      <c r="AG19" s="40">
        <v>17</v>
      </c>
      <c r="AH19" s="30">
        <f t="shared" si="39"/>
        <v>5</v>
      </c>
      <c r="AI19" s="32">
        <v>111</v>
      </c>
      <c r="AJ19" s="40">
        <v>7</v>
      </c>
      <c r="AK19" s="30">
        <f t="shared" si="40"/>
        <v>4</v>
      </c>
      <c r="AL19" s="32">
        <v>1</v>
      </c>
      <c r="AM19" s="40">
        <v>0</v>
      </c>
      <c r="AN19" s="30">
        <f t="shared" si="41"/>
        <v>2</v>
      </c>
      <c r="AO19" s="32">
        <v>14</v>
      </c>
      <c r="AP19" s="40">
        <v>14</v>
      </c>
      <c r="AQ19" s="30">
        <f t="shared" si="42"/>
        <v>5</v>
      </c>
      <c r="AR19" s="32">
        <v>6</v>
      </c>
      <c r="AS19" s="40">
        <v>6</v>
      </c>
      <c r="AT19" s="30">
        <f t="shared" si="43"/>
        <v>4</v>
      </c>
      <c r="AU19" s="40">
        <f t="shared" si="44"/>
        <v>52</v>
      </c>
      <c r="AV19" s="30">
        <f t="shared" si="45"/>
        <v>5</v>
      </c>
      <c r="AW19" s="40">
        <f t="shared" si="46"/>
        <v>82</v>
      </c>
      <c r="AX19" s="41"/>
      <c r="AY19" s="32" t="s">
        <v>223</v>
      </c>
      <c r="AZ19" s="31">
        <v>13.21</v>
      </c>
      <c r="BA19" s="344">
        <v>0</v>
      </c>
      <c r="BB19" s="30">
        <v>3</v>
      </c>
      <c r="BC19" s="31"/>
      <c r="BD19" s="344">
        <v>0</v>
      </c>
      <c r="BE19" s="30">
        <v>3</v>
      </c>
      <c r="BF19" s="31">
        <v>20</v>
      </c>
      <c r="BG19" s="344">
        <v>20</v>
      </c>
      <c r="BH19" s="30">
        <f t="shared" si="47"/>
        <v>5</v>
      </c>
      <c r="BI19" s="31">
        <v>13.6</v>
      </c>
      <c r="BJ19" s="344">
        <v>10</v>
      </c>
      <c r="BK19" s="30">
        <f t="shared" si="48"/>
        <v>5</v>
      </c>
      <c r="BL19" s="31">
        <v>6</v>
      </c>
      <c r="BM19" s="344">
        <v>10</v>
      </c>
      <c r="BN19" s="30">
        <f t="shared" si="49"/>
        <v>5</v>
      </c>
      <c r="BO19" s="40">
        <f t="shared" si="50"/>
        <v>40</v>
      </c>
      <c r="BP19" s="30">
        <f t="shared" si="51"/>
        <v>5</v>
      </c>
      <c r="BQ19" s="40">
        <f t="shared" si="52"/>
        <v>122</v>
      </c>
      <c r="BR19" s="41"/>
      <c r="BS19" s="31">
        <v>9.3000000000000007</v>
      </c>
      <c r="BT19" s="344">
        <v>13</v>
      </c>
      <c r="BU19" s="30">
        <f t="shared" si="53"/>
        <v>5</v>
      </c>
      <c r="BV19" s="31">
        <v>12.12</v>
      </c>
      <c r="BW19" s="344">
        <v>4</v>
      </c>
      <c r="BX19" s="30">
        <f t="shared" si="54"/>
        <v>3</v>
      </c>
      <c r="BY19" s="31">
        <v>22</v>
      </c>
      <c r="BZ19" s="344">
        <v>4</v>
      </c>
      <c r="CA19" s="30">
        <f t="shared" si="55"/>
        <v>3</v>
      </c>
      <c r="CB19" s="31">
        <v>8</v>
      </c>
      <c r="CC19" s="344">
        <v>9</v>
      </c>
      <c r="CD19" s="349">
        <f t="shared" si="56"/>
        <v>4</v>
      </c>
      <c r="CE19" s="40">
        <f t="shared" si="57"/>
        <v>30</v>
      </c>
      <c r="CF19" s="30">
        <f t="shared" si="58"/>
        <v>5</v>
      </c>
      <c r="CG19" s="40">
        <f t="shared" si="59"/>
        <v>152</v>
      </c>
      <c r="CH19" s="41"/>
      <c r="CI19" s="32" t="s">
        <v>223</v>
      </c>
    </row>
    <row r="20" spans="1:87">
      <c r="A20" s="3"/>
      <c r="B20" s="32" t="s">
        <v>224</v>
      </c>
      <c r="C20" s="48">
        <v>34020</v>
      </c>
      <c r="D20" s="47" t="s">
        <v>19</v>
      </c>
      <c r="E20" s="32">
        <v>159</v>
      </c>
      <c r="F20" s="32">
        <v>60</v>
      </c>
      <c r="G20" s="32">
        <v>77</v>
      </c>
      <c r="H20" s="136">
        <v>1.0669999999999999</v>
      </c>
      <c r="I20" s="151">
        <f t="shared" si="30"/>
        <v>23.733238400379729</v>
      </c>
      <c r="J20" s="43" t="s">
        <v>24</v>
      </c>
      <c r="K20" s="32">
        <f t="shared" si="31"/>
        <v>95.795956620698902</v>
      </c>
      <c r="L20" s="32" t="s">
        <v>224</v>
      </c>
      <c r="M20" s="32">
        <v>180</v>
      </c>
      <c r="N20" s="349">
        <v>6</v>
      </c>
      <c r="O20" s="30">
        <f t="shared" si="32"/>
        <v>4</v>
      </c>
      <c r="P20" s="32">
        <v>4.5999999999999996</v>
      </c>
      <c r="Q20" s="40">
        <v>19</v>
      </c>
      <c r="R20" s="30">
        <f t="shared" si="33"/>
        <v>5</v>
      </c>
      <c r="S20" s="32"/>
      <c r="T20" s="40"/>
      <c r="U20" s="30" t="str">
        <f t="shared" si="34"/>
        <v/>
      </c>
      <c r="V20" s="32"/>
      <c r="W20" s="40"/>
      <c r="X20" s="30" t="str">
        <f t="shared" si="35"/>
        <v/>
      </c>
      <c r="Y20" s="40">
        <f t="shared" si="36"/>
        <v>25</v>
      </c>
      <c r="Z20" s="30">
        <f t="shared" si="37"/>
        <v>4</v>
      </c>
      <c r="AA20" s="41"/>
      <c r="AB20" s="32" t="s">
        <v>224</v>
      </c>
      <c r="AC20" s="32">
        <v>40</v>
      </c>
      <c r="AD20" s="40">
        <v>20</v>
      </c>
      <c r="AE20" s="30">
        <f t="shared" si="38"/>
        <v>5</v>
      </c>
      <c r="AF20" s="32">
        <v>14</v>
      </c>
      <c r="AG20" s="40">
        <v>5</v>
      </c>
      <c r="AH20" s="30">
        <f t="shared" si="39"/>
        <v>4</v>
      </c>
      <c r="AI20" s="32">
        <v>107</v>
      </c>
      <c r="AJ20" s="40">
        <v>6</v>
      </c>
      <c r="AK20" s="30">
        <f t="shared" si="40"/>
        <v>4</v>
      </c>
      <c r="AL20" s="32">
        <v>2</v>
      </c>
      <c r="AM20" s="40">
        <v>1</v>
      </c>
      <c r="AN20" s="30">
        <f t="shared" si="41"/>
        <v>3</v>
      </c>
      <c r="AO20" s="32">
        <v>14</v>
      </c>
      <c r="AP20" s="40">
        <v>14</v>
      </c>
      <c r="AQ20" s="30">
        <f t="shared" si="42"/>
        <v>5</v>
      </c>
      <c r="AR20" s="32"/>
      <c r="AS20" s="40"/>
      <c r="AT20" s="30" t="str">
        <f t="shared" si="43"/>
        <v/>
      </c>
      <c r="AU20" s="40">
        <f t="shared" si="44"/>
        <v>46</v>
      </c>
      <c r="AV20" s="30">
        <f t="shared" si="45"/>
        <v>5</v>
      </c>
      <c r="AW20" s="40">
        <f t="shared" si="46"/>
        <v>71</v>
      </c>
      <c r="AX20" s="41"/>
      <c r="AY20" s="32" t="s">
        <v>224</v>
      </c>
      <c r="AZ20" s="31"/>
      <c r="BA20" s="344"/>
      <c r="BB20" s="30">
        <v>3</v>
      </c>
      <c r="BC20" s="31"/>
      <c r="BD20" s="344"/>
      <c r="BE20" s="30">
        <v>3</v>
      </c>
      <c r="BF20" s="31">
        <v>16</v>
      </c>
      <c r="BG20" s="344">
        <v>16</v>
      </c>
      <c r="BH20" s="30">
        <f t="shared" si="47"/>
        <v>5</v>
      </c>
      <c r="BI20" s="31">
        <v>13.1</v>
      </c>
      <c r="BJ20" s="344">
        <v>12</v>
      </c>
      <c r="BK20" s="30">
        <f t="shared" si="48"/>
        <v>5</v>
      </c>
      <c r="BL20" s="31">
        <v>4</v>
      </c>
      <c r="BM20" s="344">
        <v>5</v>
      </c>
      <c r="BN20" s="30">
        <f t="shared" si="49"/>
        <v>4</v>
      </c>
      <c r="BO20" s="40">
        <f t="shared" si="50"/>
        <v>33</v>
      </c>
      <c r="BP20" s="30">
        <f t="shared" si="51"/>
        <v>4</v>
      </c>
      <c r="BQ20" s="40">
        <f t="shared" si="52"/>
        <v>104</v>
      </c>
      <c r="BR20" s="41"/>
      <c r="BS20" s="31">
        <v>8.6</v>
      </c>
      <c r="BT20" s="344">
        <v>20</v>
      </c>
      <c r="BU20" s="30">
        <f t="shared" si="53"/>
        <v>5</v>
      </c>
      <c r="BV20" s="31">
        <v>11.22</v>
      </c>
      <c r="BW20" s="344">
        <v>6</v>
      </c>
      <c r="BX20" s="30">
        <f t="shared" si="54"/>
        <v>4</v>
      </c>
      <c r="BY20" s="31">
        <v>34</v>
      </c>
      <c r="BZ20" s="344">
        <v>19</v>
      </c>
      <c r="CA20" s="30">
        <f t="shared" si="55"/>
        <v>5</v>
      </c>
      <c r="CB20" s="31"/>
      <c r="CC20" s="344"/>
      <c r="CD20" s="349" t="str">
        <f t="shared" si="56"/>
        <v/>
      </c>
      <c r="CE20" s="40">
        <f t="shared" si="57"/>
        <v>45</v>
      </c>
      <c r="CF20" s="30">
        <f t="shared" si="58"/>
        <v>5</v>
      </c>
      <c r="CG20" s="40">
        <f t="shared" si="59"/>
        <v>149</v>
      </c>
      <c r="CH20" s="41"/>
      <c r="CI20" s="32" t="s">
        <v>224</v>
      </c>
    </row>
    <row r="21" spans="1:87">
      <c r="A21" s="3"/>
      <c r="B21" s="32" t="s">
        <v>225</v>
      </c>
      <c r="C21" s="48">
        <v>33636</v>
      </c>
      <c r="D21" s="47" t="s">
        <v>19</v>
      </c>
      <c r="E21" s="3">
        <v>169</v>
      </c>
      <c r="F21" s="3">
        <v>59</v>
      </c>
      <c r="G21" s="3">
        <v>77</v>
      </c>
      <c r="H21" s="136">
        <v>1.036</v>
      </c>
      <c r="I21" s="151">
        <f t="shared" si="30"/>
        <v>20.65754000210077</v>
      </c>
      <c r="J21" s="43" t="s">
        <v>30</v>
      </c>
      <c r="K21" s="32">
        <f t="shared" si="31"/>
        <v>116.51958080529508</v>
      </c>
      <c r="L21" s="32" t="s">
        <v>225</v>
      </c>
      <c r="M21" s="3"/>
      <c r="N21" s="355"/>
      <c r="O21" s="30" t="str">
        <f t="shared" si="32"/>
        <v/>
      </c>
      <c r="P21" s="3"/>
      <c r="Q21" s="3"/>
      <c r="R21" s="30" t="str">
        <f t="shared" si="33"/>
        <v/>
      </c>
      <c r="S21" s="3"/>
      <c r="T21" s="3"/>
      <c r="U21" s="30" t="str">
        <f t="shared" si="34"/>
        <v/>
      </c>
      <c r="V21" s="3">
        <v>1350</v>
      </c>
      <c r="W21" s="3">
        <v>20</v>
      </c>
      <c r="X21" s="30">
        <f t="shared" si="35"/>
        <v>5</v>
      </c>
      <c r="Y21" s="40">
        <f t="shared" si="36"/>
        <v>20</v>
      </c>
      <c r="Z21" s="30">
        <f t="shared" si="37"/>
        <v>4</v>
      </c>
      <c r="AA21" s="41"/>
      <c r="AB21" s="32" t="s">
        <v>225</v>
      </c>
      <c r="AC21" s="32">
        <v>33</v>
      </c>
      <c r="AD21" s="40">
        <v>8</v>
      </c>
      <c r="AE21" s="30">
        <f t="shared" si="38"/>
        <v>4</v>
      </c>
      <c r="AF21" s="32">
        <v>21</v>
      </c>
      <c r="AG21" s="40">
        <v>20</v>
      </c>
      <c r="AH21" s="30">
        <f t="shared" si="39"/>
        <v>5</v>
      </c>
      <c r="AI21" s="32">
        <v>124</v>
      </c>
      <c r="AJ21" s="40">
        <v>8</v>
      </c>
      <c r="AK21" s="30">
        <f t="shared" si="40"/>
        <v>4</v>
      </c>
      <c r="AL21" s="32"/>
      <c r="AM21" s="40"/>
      <c r="AN21" s="30" t="str">
        <f t="shared" si="41"/>
        <v/>
      </c>
      <c r="AO21" s="32"/>
      <c r="AP21" s="40"/>
      <c r="AQ21" s="30" t="str">
        <f t="shared" si="42"/>
        <v/>
      </c>
      <c r="AR21" s="32">
        <v>10</v>
      </c>
      <c r="AS21" s="40">
        <v>10</v>
      </c>
      <c r="AT21" s="30">
        <f t="shared" si="43"/>
        <v>5</v>
      </c>
      <c r="AU21" s="40">
        <f t="shared" si="44"/>
        <v>46</v>
      </c>
      <c r="AV21" s="30">
        <f t="shared" si="45"/>
        <v>5</v>
      </c>
      <c r="AW21" s="40">
        <f t="shared" si="46"/>
        <v>66</v>
      </c>
      <c r="AX21" s="41"/>
      <c r="AY21" s="32" t="s">
        <v>225</v>
      </c>
      <c r="AZ21" s="31"/>
      <c r="BA21" s="344"/>
      <c r="BB21" s="30"/>
      <c r="BC21" s="31"/>
      <c r="BD21" s="344"/>
      <c r="BE21" s="30"/>
      <c r="BF21" s="31">
        <v>17</v>
      </c>
      <c r="BG21" s="344">
        <v>17</v>
      </c>
      <c r="BH21" s="30">
        <f t="shared" si="47"/>
        <v>5</v>
      </c>
      <c r="BI21" s="31">
        <v>12.1</v>
      </c>
      <c r="BJ21" s="344">
        <v>20</v>
      </c>
      <c r="BK21" s="30">
        <f t="shared" si="48"/>
        <v>5</v>
      </c>
      <c r="BL21" s="31">
        <v>6</v>
      </c>
      <c r="BM21" s="344">
        <v>10</v>
      </c>
      <c r="BN21" s="30">
        <f t="shared" si="49"/>
        <v>5</v>
      </c>
      <c r="BO21" s="40">
        <f t="shared" si="50"/>
        <v>47</v>
      </c>
      <c r="BP21" s="30">
        <f t="shared" si="51"/>
        <v>5</v>
      </c>
      <c r="BQ21" s="40">
        <f t="shared" si="52"/>
        <v>113</v>
      </c>
      <c r="BR21" s="41"/>
      <c r="BS21" s="31">
        <v>10</v>
      </c>
      <c r="BT21" s="344">
        <v>5</v>
      </c>
      <c r="BU21" s="30">
        <f t="shared" si="53"/>
        <v>4</v>
      </c>
      <c r="BV21" s="31"/>
      <c r="BW21" s="344"/>
      <c r="BX21" s="30" t="str">
        <f t="shared" si="54"/>
        <v/>
      </c>
      <c r="BY21" s="31">
        <v>23</v>
      </c>
      <c r="BZ21" s="344">
        <v>5</v>
      </c>
      <c r="CA21" s="30">
        <f t="shared" si="55"/>
        <v>4</v>
      </c>
      <c r="CB21" s="31">
        <v>9</v>
      </c>
      <c r="CC21" s="344">
        <v>10</v>
      </c>
      <c r="CD21" s="349">
        <f t="shared" si="56"/>
        <v>5</v>
      </c>
      <c r="CE21" s="40">
        <f t="shared" si="57"/>
        <v>20</v>
      </c>
      <c r="CF21" s="30">
        <f t="shared" si="58"/>
        <v>4</v>
      </c>
      <c r="CG21" s="40">
        <f t="shared" si="59"/>
        <v>133</v>
      </c>
      <c r="CH21" s="41"/>
      <c r="CI21" s="32" t="s">
        <v>225</v>
      </c>
    </row>
    <row r="22" spans="1:87">
      <c r="A22" s="3"/>
      <c r="B22" s="32" t="s">
        <v>226</v>
      </c>
      <c r="C22" s="48">
        <v>34348</v>
      </c>
      <c r="D22" s="47" t="s">
        <v>77</v>
      </c>
      <c r="E22" s="3">
        <v>156</v>
      </c>
      <c r="F22" s="3">
        <v>45</v>
      </c>
      <c r="G22" s="3">
        <v>61</v>
      </c>
      <c r="H22" s="136">
        <v>1.091</v>
      </c>
      <c r="I22" s="151">
        <f t="shared" si="30"/>
        <v>18.491124260355029</v>
      </c>
      <c r="J22" s="43" t="s">
        <v>30</v>
      </c>
      <c r="K22" s="32">
        <f t="shared" si="31"/>
        <v>130.09571606737688</v>
      </c>
      <c r="L22" s="32" t="s">
        <v>226</v>
      </c>
      <c r="M22" s="3">
        <v>154</v>
      </c>
      <c r="N22" s="355">
        <v>0</v>
      </c>
      <c r="O22" s="30">
        <f t="shared" si="32"/>
        <v>2</v>
      </c>
      <c r="P22" s="32">
        <v>4.7</v>
      </c>
      <c r="Q22" s="40">
        <v>18</v>
      </c>
      <c r="R22" s="30">
        <f t="shared" si="33"/>
        <v>5</v>
      </c>
      <c r="S22" s="32">
        <v>10.8</v>
      </c>
      <c r="T22" s="40">
        <v>5</v>
      </c>
      <c r="U22" s="30">
        <f t="shared" si="34"/>
        <v>4</v>
      </c>
      <c r="V22" s="32">
        <v>1465</v>
      </c>
      <c r="W22" s="40">
        <v>20</v>
      </c>
      <c r="X22" s="30">
        <f t="shared" si="35"/>
        <v>5</v>
      </c>
      <c r="Y22" s="40">
        <f t="shared" si="36"/>
        <v>43</v>
      </c>
      <c r="Z22" s="30">
        <f t="shared" si="37"/>
        <v>5</v>
      </c>
      <c r="AA22" s="41"/>
      <c r="AB22" s="32" t="s">
        <v>226</v>
      </c>
      <c r="AC22" s="32">
        <v>32</v>
      </c>
      <c r="AD22" s="40">
        <v>7</v>
      </c>
      <c r="AE22" s="30">
        <f t="shared" si="38"/>
        <v>4</v>
      </c>
      <c r="AF22" s="32"/>
      <c r="AG22" s="40"/>
      <c r="AH22" s="30" t="str">
        <f t="shared" si="39"/>
        <v/>
      </c>
      <c r="AI22" s="32">
        <v>129</v>
      </c>
      <c r="AJ22" s="40">
        <v>9</v>
      </c>
      <c r="AK22" s="30">
        <f t="shared" si="40"/>
        <v>4</v>
      </c>
      <c r="AL22" s="32"/>
      <c r="AM22" s="40"/>
      <c r="AN22" s="30" t="str">
        <f t="shared" si="41"/>
        <v/>
      </c>
      <c r="AO22" s="32">
        <v>5</v>
      </c>
      <c r="AP22" s="40">
        <v>5</v>
      </c>
      <c r="AQ22" s="30">
        <f t="shared" si="42"/>
        <v>4</v>
      </c>
      <c r="AR22" s="32">
        <v>6</v>
      </c>
      <c r="AS22" s="40">
        <v>6</v>
      </c>
      <c r="AT22" s="30">
        <f t="shared" si="43"/>
        <v>4</v>
      </c>
      <c r="AU22" s="40">
        <f t="shared" si="44"/>
        <v>27</v>
      </c>
      <c r="AV22" s="30">
        <f t="shared" si="45"/>
        <v>4</v>
      </c>
      <c r="AW22" s="40">
        <f t="shared" si="46"/>
        <v>70</v>
      </c>
      <c r="AX22" s="41"/>
      <c r="AY22" s="32" t="s">
        <v>226</v>
      </c>
      <c r="AZ22" s="31">
        <v>8.23</v>
      </c>
      <c r="BA22" s="344">
        <v>5</v>
      </c>
      <c r="BB22" s="30">
        <v>4</v>
      </c>
      <c r="BC22" s="31">
        <v>19.28</v>
      </c>
      <c r="BD22" s="344">
        <v>5</v>
      </c>
      <c r="BE22" s="30">
        <v>4</v>
      </c>
      <c r="BF22" s="31">
        <v>5</v>
      </c>
      <c r="BG22" s="344">
        <v>0</v>
      </c>
      <c r="BH22" s="30">
        <f t="shared" si="47"/>
        <v>2</v>
      </c>
      <c r="BI22" s="31">
        <v>13.200000000000001</v>
      </c>
      <c r="BJ22" s="344">
        <v>12</v>
      </c>
      <c r="BK22" s="30">
        <f t="shared" si="48"/>
        <v>5</v>
      </c>
      <c r="BL22" s="31">
        <v>6</v>
      </c>
      <c r="BM22" s="344">
        <v>10</v>
      </c>
      <c r="BN22" s="30">
        <f t="shared" si="49"/>
        <v>5</v>
      </c>
      <c r="BO22" s="40">
        <f t="shared" si="50"/>
        <v>32</v>
      </c>
      <c r="BP22" s="30">
        <f t="shared" si="51"/>
        <v>4</v>
      </c>
      <c r="BQ22" s="40">
        <f t="shared" si="52"/>
        <v>102</v>
      </c>
      <c r="BR22" s="41"/>
      <c r="BS22" s="31">
        <v>9.8000000000000007</v>
      </c>
      <c r="BT22" s="344">
        <v>6</v>
      </c>
      <c r="BU22" s="30">
        <f t="shared" si="53"/>
        <v>4</v>
      </c>
      <c r="BV22" s="31">
        <v>11.23</v>
      </c>
      <c r="BW22" s="344">
        <v>6</v>
      </c>
      <c r="BX22" s="30">
        <f t="shared" si="54"/>
        <v>4</v>
      </c>
      <c r="BY22" s="31">
        <v>16</v>
      </c>
      <c r="BZ22" s="344">
        <v>0</v>
      </c>
      <c r="CA22" s="30">
        <f t="shared" si="55"/>
        <v>2</v>
      </c>
      <c r="CB22" s="31">
        <v>13</v>
      </c>
      <c r="CC22" s="344">
        <v>18</v>
      </c>
      <c r="CD22" s="349">
        <f t="shared" si="56"/>
        <v>5</v>
      </c>
      <c r="CE22" s="40">
        <f t="shared" si="57"/>
        <v>30</v>
      </c>
      <c r="CF22" s="30">
        <f t="shared" si="58"/>
        <v>5</v>
      </c>
      <c r="CG22" s="40">
        <f t="shared" si="59"/>
        <v>132</v>
      </c>
      <c r="CH22" s="41"/>
      <c r="CI22" s="32" t="s">
        <v>226</v>
      </c>
    </row>
    <row r="23" spans="1:87">
      <c r="A23" s="3"/>
      <c r="B23" s="32" t="s">
        <v>227</v>
      </c>
      <c r="C23" s="48">
        <v>34449</v>
      </c>
      <c r="D23" s="47" t="s">
        <v>19</v>
      </c>
      <c r="E23" s="3">
        <v>169</v>
      </c>
      <c r="F23" s="3">
        <v>62</v>
      </c>
      <c r="G23" s="3">
        <v>73</v>
      </c>
      <c r="H23" s="136">
        <v>1.091</v>
      </c>
      <c r="I23" s="151">
        <f t="shared" si="30"/>
        <v>21.707923392038097</v>
      </c>
      <c r="J23" s="43" t="s">
        <v>24</v>
      </c>
      <c r="K23" s="32">
        <f t="shared" si="31"/>
        <v>113.52535690518941</v>
      </c>
      <c r="L23" s="32" t="s">
        <v>227</v>
      </c>
      <c r="M23" s="3">
        <v>155</v>
      </c>
      <c r="N23" s="355">
        <v>0</v>
      </c>
      <c r="O23" s="30">
        <f t="shared" si="32"/>
        <v>2</v>
      </c>
      <c r="P23" s="32">
        <v>5</v>
      </c>
      <c r="Q23" s="40">
        <v>12</v>
      </c>
      <c r="R23" s="30">
        <f t="shared" si="33"/>
        <v>5</v>
      </c>
      <c r="S23" s="32">
        <v>10.8</v>
      </c>
      <c r="T23" s="40">
        <v>5</v>
      </c>
      <c r="U23" s="30">
        <f t="shared" si="34"/>
        <v>4</v>
      </c>
      <c r="V23" s="32">
        <v>1350</v>
      </c>
      <c r="W23" s="40">
        <v>20</v>
      </c>
      <c r="X23" s="30">
        <f t="shared" si="35"/>
        <v>5</v>
      </c>
      <c r="Y23" s="40">
        <f t="shared" si="36"/>
        <v>37</v>
      </c>
      <c r="Z23" s="30">
        <f t="shared" si="37"/>
        <v>5</v>
      </c>
      <c r="AA23" s="41"/>
      <c r="AB23" s="32" t="s">
        <v>227</v>
      </c>
      <c r="AC23" s="32">
        <v>42</v>
      </c>
      <c r="AD23" s="40">
        <v>20</v>
      </c>
      <c r="AE23" s="30">
        <f t="shared" si="38"/>
        <v>5</v>
      </c>
      <c r="AF23" s="32">
        <v>13</v>
      </c>
      <c r="AG23" s="40">
        <v>4</v>
      </c>
      <c r="AH23" s="30">
        <f t="shared" si="39"/>
        <v>3</v>
      </c>
      <c r="AI23" s="32">
        <v>100</v>
      </c>
      <c r="AJ23" s="40">
        <v>6</v>
      </c>
      <c r="AK23" s="30">
        <f t="shared" si="40"/>
        <v>4</v>
      </c>
      <c r="AL23" s="32">
        <v>2</v>
      </c>
      <c r="AM23" s="40">
        <v>1</v>
      </c>
      <c r="AN23" s="30">
        <f t="shared" si="41"/>
        <v>3</v>
      </c>
      <c r="AO23" s="32">
        <v>7</v>
      </c>
      <c r="AP23" s="40">
        <v>7</v>
      </c>
      <c r="AQ23" s="30">
        <f t="shared" si="42"/>
        <v>4</v>
      </c>
      <c r="AR23" s="32">
        <v>8</v>
      </c>
      <c r="AS23" s="40">
        <v>8</v>
      </c>
      <c r="AT23" s="30">
        <f t="shared" si="43"/>
        <v>4</v>
      </c>
      <c r="AU23" s="40">
        <f t="shared" si="44"/>
        <v>46</v>
      </c>
      <c r="AV23" s="30">
        <f t="shared" si="45"/>
        <v>5</v>
      </c>
      <c r="AW23" s="40">
        <f t="shared" si="46"/>
        <v>83</v>
      </c>
      <c r="AX23" s="41"/>
      <c r="AY23" s="32" t="s">
        <v>227</v>
      </c>
      <c r="AZ23" s="31"/>
      <c r="BA23" s="344"/>
      <c r="BB23" s="30"/>
      <c r="BC23" s="31"/>
      <c r="BD23" s="344"/>
      <c r="BE23" s="30"/>
      <c r="BF23" s="31">
        <v>4</v>
      </c>
      <c r="BG23" s="344">
        <v>0</v>
      </c>
      <c r="BH23" s="30">
        <f t="shared" si="47"/>
        <v>2</v>
      </c>
      <c r="BI23" s="31">
        <v>13.200000000000001</v>
      </c>
      <c r="BJ23" s="344">
        <v>12</v>
      </c>
      <c r="BK23" s="30">
        <f t="shared" si="48"/>
        <v>5</v>
      </c>
      <c r="BL23" s="31">
        <v>5</v>
      </c>
      <c r="BM23" s="344">
        <v>8</v>
      </c>
      <c r="BN23" s="30">
        <f t="shared" si="49"/>
        <v>4</v>
      </c>
      <c r="BO23" s="40">
        <f t="shared" si="50"/>
        <v>20</v>
      </c>
      <c r="BP23" s="30">
        <f t="shared" si="51"/>
        <v>4</v>
      </c>
      <c r="BQ23" s="40">
        <f t="shared" si="52"/>
        <v>103</v>
      </c>
      <c r="BR23" s="41"/>
      <c r="BS23" s="31">
        <v>10.1</v>
      </c>
      <c r="BT23" s="344">
        <v>4</v>
      </c>
      <c r="BU23" s="30">
        <f t="shared" si="53"/>
        <v>3</v>
      </c>
      <c r="BV23" s="31">
        <v>15.25</v>
      </c>
      <c r="BW23" s="344">
        <v>0</v>
      </c>
      <c r="BX23" s="30">
        <f t="shared" si="54"/>
        <v>2</v>
      </c>
      <c r="BY23" s="31">
        <v>16</v>
      </c>
      <c r="BZ23" s="344">
        <v>0</v>
      </c>
      <c r="CA23" s="30">
        <f t="shared" si="55"/>
        <v>2</v>
      </c>
      <c r="CB23" s="31">
        <v>1</v>
      </c>
      <c r="CC23" s="344">
        <v>0</v>
      </c>
      <c r="CD23" s="349">
        <f t="shared" si="56"/>
        <v>2</v>
      </c>
      <c r="CE23" s="40">
        <f t="shared" si="57"/>
        <v>4</v>
      </c>
      <c r="CF23" s="30">
        <f t="shared" si="58"/>
        <v>3</v>
      </c>
      <c r="CG23" s="40">
        <f t="shared" si="59"/>
        <v>107</v>
      </c>
      <c r="CH23" s="41"/>
      <c r="CI23" s="32" t="s">
        <v>227</v>
      </c>
    </row>
    <row r="24" spans="1:87">
      <c r="A24" s="3"/>
      <c r="B24" s="3" t="s">
        <v>228</v>
      </c>
      <c r="C24" s="49">
        <v>34278</v>
      </c>
      <c r="D24" s="47" t="s">
        <v>19</v>
      </c>
      <c r="E24" s="3">
        <v>153</v>
      </c>
      <c r="F24" s="3">
        <v>60</v>
      </c>
      <c r="G24" s="3">
        <v>80</v>
      </c>
      <c r="H24" s="136">
        <v>1.0669999999999999</v>
      </c>
      <c r="I24" s="151">
        <f t="shared" si="30"/>
        <v>25.631167499679609</v>
      </c>
      <c r="J24" s="10" t="s">
        <v>21</v>
      </c>
      <c r="K24" s="32">
        <f t="shared" si="31"/>
        <v>83.347000937207127</v>
      </c>
      <c r="L24" s="3" t="s">
        <v>228</v>
      </c>
      <c r="M24" s="3">
        <v>151</v>
      </c>
      <c r="N24" s="355">
        <v>0</v>
      </c>
      <c r="O24" s="30">
        <f t="shared" si="32"/>
        <v>2</v>
      </c>
      <c r="P24" s="32">
        <v>5.6000000000000005</v>
      </c>
      <c r="Q24" s="40">
        <v>4</v>
      </c>
      <c r="R24" s="30">
        <f t="shared" si="33"/>
        <v>3</v>
      </c>
      <c r="S24" s="32"/>
      <c r="T24" s="40"/>
      <c r="U24" s="30" t="str">
        <f t="shared" si="34"/>
        <v/>
      </c>
      <c r="V24" s="32"/>
      <c r="W24" s="40"/>
      <c r="X24" s="30" t="str">
        <f t="shared" si="35"/>
        <v/>
      </c>
      <c r="Y24" s="40">
        <f t="shared" si="36"/>
        <v>4</v>
      </c>
      <c r="Z24" s="30">
        <f t="shared" si="37"/>
        <v>3</v>
      </c>
      <c r="AA24" s="41"/>
      <c r="AB24" s="3" t="s">
        <v>228</v>
      </c>
      <c r="AC24" s="32"/>
      <c r="AD24" s="40"/>
      <c r="AE24" s="30" t="str">
        <f t="shared" si="38"/>
        <v/>
      </c>
      <c r="AF24" s="32">
        <v>20</v>
      </c>
      <c r="AG24" s="40">
        <v>17</v>
      </c>
      <c r="AH24" s="30">
        <f t="shared" si="39"/>
        <v>5</v>
      </c>
      <c r="AI24" s="32">
        <v>98</v>
      </c>
      <c r="AJ24" s="40">
        <v>5</v>
      </c>
      <c r="AK24" s="30">
        <f t="shared" si="40"/>
        <v>4</v>
      </c>
      <c r="AL24" s="32">
        <v>4</v>
      </c>
      <c r="AM24" s="40">
        <v>5</v>
      </c>
      <c r="AN24" s="30">
        <f t="shared" si="41"/>
        <v>4</v>
      </c>
      <c r="AO24" s="32"/>
      <c r="AP24" s="40"/>
      <c r="AQ24" s="30" t="str">
        <f t="shared" si="42"/>
        <v/>
      </c>
      <c r="AR24" s="32">
        <v>8</v>
      </c>
      <c r="AS24" s="40">
        <v>8</v>
      </c>
      <c r="AT24" s="30">
        <f t="shared" si="43"/>
        <v>4</v>
      </c>
      <c r="AU24" s="40">
        <f t="shared" si="44"/>
        <v>35</v>
      </c>
      <c r="AV24" s="30">
        <f t="shared" si="45"/>
        <v>4</v>
      </c>
      <c r="AW24" s="40">
        <f t="shared" si="46"/>
        <v>39</v>
      </c>
      <c r="AX24" s="41"/>
      <c r="AY24" s="3" t="s">
        <v>228</v>
      </c>
      <c r="AZ24" s="31"/>
      <c r="BA24" s="344"/>
      <c r="BB24" s="30">
        <v>2</v>
      </c>
      <c r="BC24" s="31"/>
      <c r="BD24" s="344"/>
      <c r="BE24" s="30">
        <v>2</v>
      </c>
      <c r="BF24" s="31">
        <v>7</v>
      </c>
      <c r="BG24" s="344">
        <v>3</v>
      </c>
      <c r="BH24" s="30">
        <f t="shared" si="47"/>
        <v>3</v>
      </c>
      <c r="BI24" s="31">
        <v>14.9</v>
      </c>
      <c r="BJ24" s="344">
        <v>4</v>
      </c>
      <c r="BK24" s="30">
        <f t="shared" si="48"/>
        <v>3</v>
      </c>
      <c r="BL24" s="31"/>
      <c r="BM24" s="344"/>
      <c r="BN24" s="30" t="str">
        <f t="shared" si="49"/>
        <v/>
      </c>
      <c r="BO24" s="40">
        <f t="shared" si="50"/>
        <v>7</v>
      </c>
      <c r="BP24" s="30">
        <f t="shared" si="51"/>
        <v>3</v>
      </c>
      <c r="BQ24" s="40">
        <f t="shared" si="52"/>
        <v>46</v>
      </c>
      <c r="BR24" s="41"/>
      <c r="BS24" s="31">
        <v>12.3</v>
      </c>
      <c r="BT24" s="344">
        <v>0</v>
      </c>
      <c r="BU24" s="30">
        <f t="shared" si="53"/>
        <v>2</v>
      </c>
      <c r="BV24" s="31">
        <v>13.48</v>
      </c>
      <c r="BW24" s="344">
        <v>0</v>
      </c>
      <c r="BX24" s="30">
        <f t="shared" si="54"/>
        <v>2</v>
      </c>
      <c r="BY24" s="31"/>
      <c r="BZ24" s="344"/>
      <c r="CA24" s="30" t="str">
        <f t="shared" si="55"/>
        <v/>
      </c>
      <c r="CB24" s="31">
        <v>11</v>
      </c>
      <c r="CC24" s="344">
        <v>14</v>
      </c>
      <c r="CD24" s="349">
        <f t="shared" si="56"/>
        <v>5</v>
      </c>
      <c r="CE24" s="40">
        <f t="shared" si="57"/>
        <v>14</v>
      </c>
      <c r="CF24" s="30">
        <f t="shared" si="58"/>
        <v>3</v>
      </c>
      <c r="CG24" s="40">
        <f t="shared" si="59"/>
        <v>60</v>
      </c>
      <c r="CH24" s="41"/>
      <c r="CI24" s="3" t="s">
        <v>228</v>
      </c>
    </row>
    <row r="25" spans="1:87">
      <c r="A25" s="3"/>
      <c r="B25" s="32" t="s">
        <v>229</v>
      </c>
      <c r="C25" s="48">
        <v>34410</v>
      </c>
      <c r="D25" s="47" t="s">
        <v>19</v>
      </c>
      <c r="E25" s="32">
        <v>165</v>
      </c>
      <c r="F25" s="32">
        <v>72</v>
      </c>
      <c r="G25" s="32">
        <v>85</v>
      </c>
      <c r="H25" s="136">
        <v>1.091</v>
      </c>
      <c r="I25" s="151">
        <f t="shared" si="30"/>
        <v>26.446280991735541</v>
      </c>
      <c r="J25" s="10" t="s">
        <v>21</v>
      </c>
      <c r="K25" s="32">
        <f t="shared" si="31"/>
        <v>82.735752412789125</v>
      </c>
      <c r="L25" s="32" t="s">
        <v>229</v>
      </c>
      <c r="M25" s="32">
        <v>159</v>
      </c>
      <c r="N25" s="349">
        <v>0</v>
      </c>
      <c r="O25" s="30">
        <f t="shared" si="32"/>
        <v>2</v>
      </c>
      <c r="P25" s="32">
        <v>5.6000000000000005</v>
      </c>
      <c r="Q25" s="40">
        <v>4</v>
      </c>
      <c r="R25" s="30">
        <f t="shared" si="33"/>
        <v>3</v>
      </c>
      <c r="S25" s="32"/>
      <c r="T25" s="40"/>
      <c r="U25" s="30" t="str">
        <f t="shared" si="34"/>
        <v/>
      </c>
      <c r="V25" s="32"/>
      <c r="W25" s="40"/>
      <c r="X25" s="30" t="str">
        <f t="shared" si="35"/>
        <v/>
      </c>
      <c r="Y25" s="40">
        <f t="shared" si="36"/>
        <v>4</v>
      </c>
      <c r="Z25" s="30">
        <f t="shared" si="37"/>
        <v>3</v>
      </c>
      <c r="AA25" s="41"/>
      <c r="AB25" s="32" t="s">
        <v>229</v>
      </c>
      <c r="AC25" s="32">
        <v>36</v>
      </c>
      <c r="AD25" s="40">
        <v>12</v>
      </c>
      <c r="AE25" s="30">
        <f t="shared" si="38"/>
        <v>5</v>
      </c>
      <c r="AF25" s="32">
        <v>2</v>
      </c>
      <c r="AG25" s="40">
        <v>0</v>
      </c>
      <c r="AH25" s="30">
        <f t="shared" si="39"/>
        <v>2</v>
      </c>
      <c r="AI25" s="32">
        <v>151</v>
      </c>
      <c r="AJ25" s="40">
        <v>15</v>
      </c>
      <c r="AK25" s="30">
        <f t="shared" si="40"/>
        <v>5</v>
      </c>
      <c r="AL25" s="32"/>
      <c r="AM25" s="40"/>
      <c r="AN25" s="30" t="str">
        <f t="shared" si="41"/>
        <v/>
      </c>
      <c r="AO25" s="32">
        <v>5</v>
      </c>
      <c r="AP25" s="40">
        <v>5</v>
      </c>
      <c r="AQ25" s="30">
        <f t="shared" si="42"/>
        <v>4</v>
      </c>
      <c r="AR25" s="32"/>
      <c r="AS25" s="40"/>
      <c r="AT25" s="30" t="str">
        <f t="shared" si="43"/>
        <v/>
      </c>
      <c r="AU25" s="40">
        <f t="shared" si="44"/>
        <v>32</v>
      </c>
      <c r="AV25" s="30">
        <f t="shared" si="45"/>
        <v>4</v>
      </c>
      <c r="AW25" s="40">
        <f t="shared" si="46"/>
        <v>36</v>
      </c>
      <c r="AX25" s="41"/>
      <c r="AY25" s="32" t="s">
        <v>229</v>
      </c>
      <c r="AZ25" s="31"/>
      <c r="BA25" s="344"/>
      <c r="BB25" s="30">
        <v>2</v>
      </c>
      <c r="BC25" s="31"/>
      <c r="BD25" s="344"/>
      <c r="BE25" s="30">
        <v>2</v>
      </c>
      <c r="BF25" s="31">
        <v>7</v>
      </c>
      <c r="BG25" s="344">
        <v>3</v>
      </c>
      <c r="BH25" s="30">
        <f t="shared" si="47"/>
        <v>3</v>
      </c>
      <c r="BI25" s="31">
        <v>14.9</v>
      </c>
      <c r="BJ25" s="344">
        <v>4</v>
      </c>
      <c r="BK25" s="30">
        <f t="shared" si="48"/>
        <v>3</v>
      </c>
      <c r="BL25" s="31"/>
      <c r="BM25" s="344"/>
      <c r="BN25" s="30" t="str">
        <f t="shared" si="49"/>
        <v/>
      </c>
      <c r="BO25" s="40">
        <f t="shared" si="50"/>
        <v>7</v>
      </c>
      <c r="BP25" s="30">
        <f t="shared" si="51"/>
        <v>3</v>
      </c>
      <c r="BQ25" s="40">
        <f t="shared" si="52"/>
        <v>43</v>
      </c>
      <c r="BR25" s="41"/>
      <c r="BS25" s="31">
        <v>10.1</v>
      </c>
      <c r="BT25" s="344">
        <v>4</v>
      </c>
      <c r="BU25" s="30">
        <f t="shared" si="53"/>
        <v>3</v>
      </c>
      <c r="BV25" s="31"/>
      <c r="BW25" s="344"/>
      <c r="BX25" s="30" t="str">
        <f t="shared" si="54"/>
        <v/>
      </c>
      <c r="BY25" s="31">
        <v>19</v>
      </c>
      <c r="BZ25" s="344">
        <v>1</v>
      </c>
      <c r="CA25" s="30">
        <f t="shared" si="55"/>
        <v>3</v>
      </c>
      <c r="CB25" s="31">
        <v>2</v>
      </c>
      <c r="CC25" s="344">
        <v>0</v>
      </c>
      <c r="CD25" s="349">
        <f t="shared" si="56"/>
        <v>2</v>
      </c>
      <c r="CE25" s="40">
        <f t="shared" si="57"/>
        <v>5</v>
      </c>
      <c r="CF25" s="30">
        <f t="shared" si="58"/>
        <v>3</v>
      </c>
      <c r="CG25" s="40">
        <f t="shared" si="59"/>
        <v>48</v>
      </c>
      <c r="CH25" s="41"/>
      <c r="CI25" s="32" t="s">
        <v>229</v>
      </c>
    </row>
    <row r="26" spans="1:87">
      <c r="A26" s="315"/>
      <c r="B26" s="315"/>
      <c r="C26" s="178"/>
      <c r="G26" s="252"/>
      <c r="H26" s="253"/>
      <c r="I26" s="254"/>
      <c r="J26" s="252"/>
      <c r="K26" s="171"/>
      <c r="M26" s="179"/>
      <c r="N26" s="179"/>
      <c r="O26" s="37"/>
      <c r="P26" s="179"/>
      <c r="Q26" s="179"/>
      <c r="R26" s="37"/>
      <c r="S26" s="179"/>
      <c r="T26" s="179"/>
      <c r="U26" s="37"/>
      <c r="V26" s="179"/>
      <c r="W26" s="179"/>
      <c r="X26" s="37"/>
      <c r="Y26" s="180"/>
      <c r="Z26" s="37"/>
      <c r="AA26" s="181"/>
      <c r="AC26" s="179"/>
      <c r="AY26" s="92"/>
    </row>
    <row r="27" spans="1:87">
      <c r="A27" s="315"/>
      <c r="B27" s="316"/>
      <c r="C27" s="227" t="s">
        <v>19</v>
      </c>
      <c r="D27" s="248">
        <f>COUNTIF(D3:D25,"осн.")</f>
        <v>17</v>
      </c>
      <c r="E27" s="249"/>
      <c r="F27" s="217"/>
      <c r="G27" s="217"/>
      <c r="H27" s="217"/>
      <c r="I27" s="217"/>
      <c r="J27" s="217"/>
      <c r="K27" s="228"/>
      <c r="L27" s="106" t="s">
        <v>18</v>
      </c>
      <c r="M27" s="45"/>
      <c r="N27" s="45"/>
      <c r="O27" s="33">
        <f>AVERAGE(O3:O25)</f>
        <v>4</v>
      </c>
      <c r="P27" s="45"/>
      <c r="Q27" s="45"/>
      <c r="R27" s="33">
        <f>AVERAGE(R3:R25)</f>
        <v>4.6190476190476186</v>
      </c>
      <c r="S27" s="45"/>
      <c r="T27" s="45"/>
      <c r="U27" s="33">
        <f>AVERAGE(U3:U25)</f>
        <v>4.5294117647058822</v>
      </c>
      <c r="V27" s="45"/>
      <c r="W27" s="45"/>
      <c r="X27" s="33">
        <f>AVERAGE(X3:X25)</f>
        <v>4.833333333333333</v>
      </c>
      <c r="Y27" s="45"/>
      <c r="Z27" s="33">
        <f>AVERAGE(O27:X27)</f>
        <v>4.4954481792717083</v>
      </c>
      <c r="AA27" s="33"/>
      <c r="AB27" s="32" t="s">
        <v>18</v>
      </c>
      <c r="AC27" s="45"/>
      <c r="AD27" s="32"/>
      <c r="AE27" s="30">
        <f>AVERAGE(AE3:AE25)</f>
        <v>4.4285714285714288</v>
      </c>
      <c r="AF27" s="32"/>
      <c r="AG27" s="32"/>
      <c r="AH27" s="30">
        <f>AVERAGE(AH3:AH25)</f>
        <v>3.9047619047619047</v>
      </c>
      <c r="AI27" s="32"/>
      <c r="AJ27" s="32"/>
      <c r="AK27" s="30">
        <f>AVERAGE(AK3:AK25)</f>
        <v>4.1818181818181817</v>
      </c>
      <c r="AL27" s="32"/>
      <c r="AM27" s="32"/>
      <c r="AN27" s="30">
        <f>AVERAGE(AN3:AN25)</f>
        <v>3.5294117647058822</v>
      </c>
      <c r="AO27" s="32"/>
      <c r="AP27" s="32"/>
      <c r="AQ27" s="30">
        <f>AVERAGE(AQ3:AQ25)</f>
        <v>4.0999999999999996</v>
      </c>
      <c r="AR27" s="32"/>
      <c r="AS27" s="32"/>
      <c r="AT27" s="30">
        <f>AVERAGE(AT3:AT25)</f>
        <v>4.2142857142857144</v>
      </c>
      <c r="AU27" s="32"/>
      <c r="AV27" s="30">
        <f>AVERAGE(AE27:AT27)</f>
        <v>4.0598081656905194</v>
      </c>
      <c r="AW27" s="32"/>
      <c r="AX27" s="32"/>
      <c r="AY27" s="32" t="s">
        <v>18</v>
      </c>
      <c r="AZ27" s="31"/>
      <c r="BA27" s="31"/>
      <c r="BB27" s="30">
        <f>AVERAGE(BB3:BB25)</f>
        <v>3.1764705882352939</v>
      </c>
      <c r="BC27" s="31"/>
      <c r="BD27" s="31"/>
      <c r="BE27" s="30">
        <f>AVERAGE(BE3:BE25)</f>
        <v>3.1764705882352939</v>
      </c>
      <c r="BF27" s="31"/>
      <c r="BG27" s="31"/>
      <c r="BH27" s="30">
        <f>AVERAGE(BH3:BH25)</f>
        <v>4.1363636363636367</v>
      </c>
      <c r="BI27" s="31"/>
      <c r="BJ27" s="31"/>
      <c r="BK27" s="30">
        <f>AVERAGE(BK3:BK25)</f>
        <v>4.4545454545454541</v>
      </c>
      <c r="BL27" s="31"/>
      <c r="BM27" s="31"/>
      <c r="BN27" s="30">
        <f>AVERAGE(BN3:BN25)</f>
        <v>4.5882352941176467</v>
      </c>
      <c r="BO27" s="31"/>
      <c r="BP27" s="30">
        <f>AVERAGE(BB27:BN27)</f>
        <v>3.9064171122994651</v>
      </c>
      <c r="BQ27" s="31"/>
      <c r="BR27" s="31"/>
      <c r="BS27" s="31"/>
      <c r="BT27" s="31"/>
      <c r="BU27" s="30">
        <f>AVERAGE(BU3:BU25)</f>
        <v>4.3636363636363633</v>
      </c>
      <c r="BV27" s="31"/>
      <c r="BW27" s="31"/>
      <c r="BX27" s="30">
        <f>AVERAGE(BX3:BX25)</f>
        <v>3.8947368421052633</v>
      </c>
      <c r="BY27" s="31"/>
      <c r="BZ27" s="31"/>
      <c r="CA27" s="30">
        <f>AVERAGE(CA3:CA25)</f>
        <v>3.8571428571428572</v>
      </c>
      <c r="CB27" s="31"/>
      <c r="CC27" s="31"/>
      <c r="CD27" s="30">
        <f>AVERAGE(CD3:CD25)</f>
        <v>4.4761904761904763</v>
      </c>
      <c r="CE27" s="31"/>
      <c r="CF27" s="30">
        <f>AVERAGE(BU27:CD27)</f>
        <v>4.1479266347687407</v>
      </c>
      <c r="CG27" s="30">
        <f>AVERAGE(Z27,AV27,BP27,CF27)</f>
        <v>4.1524000230076084</v>
      </c>
      <c r="CH27" s="30"/>
      <c r="CI27" s="32" t="s">
        <v>18</v>
      </c>
    </row>
    <row r="28" spans="1:87">
      <c r="A28" s="315"/>
      <c r="B28" s="315"/>
      <c r="Y28" s="160" t="s">
        <v>17</v>
      </c>
      <c r="Z28" s="160"/>
      <c r="AY28" s="92"/>
    </row>
    <row r="29" spans="1:87">
      <c r="A29" s="315"/>
      <c r="B29" s="319" t="s">
        <v>16</v>
      </c>
      <c r="C29" s="26"/>
      <c r="D29" s="26"/>
      <c r="Y29" s="25" t="s">
        <v>15</v>
      </c>
      <c r="Z29" s="24">
        <v>22</v>
      </c>
      <c r="AA29" s="4"/>
      <c r="AB29" s="4"/>
      <c r="AU29" s="25" t="s">
        <v>15</v>
      </c>
      <c r="AV29" s="25">
        <v>22</v>
      </c>
      <c r="AY29" s="92"/>
      <c r="BO29" s="25" t="s">
        <v>15</v>
      </c>
      <c r="BP29" s="25">
        <v>22</v>
      </c>
      <c r="CE29" s="25" t="s">
        <v>15</v>
      </c>
      <c r="CF29" s="25">
        <v>22</v>
      </c>
    </row>
    <row r="30" spans="1:87">
      <c r="A30" s="315"/>
      <c r="B30" s="321"/>
      <c r="C30" s="23"/>
      <c r="Y30" s="22" t="s">
        <v>133</v>
      </c>
      <c r="Z30" s="13">
        <f>COUNTIF(Z3:Z25,5)</f>
        <v>16</v>
      </c>
      <c r="AU30" s="161" t="s">
        <v>134</v>
      </c>
      <c r="AV30" s="104">
        <f>COUNTIF(AV3:AV25,5)</f>
        <v>13</v>
      </c>
      <c r="AY30" s="92"/>
      <c r="BO30" s="161" t="s">
        <v>134</v>
      </c>
      <c r="BP30" s="104">
        <f>COUNTIF(BP3:BP25,5)</f>
        <v>8</v>
      </c>
      <c r="CE30" s="161" t="s">
        <v>134</v>
      </c>
      <c r="CF30" s="104">
        <f>COUNTIF(CF3:CF25,5)</f>
        <v>16</v>
      </c>
    </row>
    <row r="31" spans="1:87">
      <c r="A31" s="315"/>
      <c r="B31" s="326" t="s">
        <v>13</v>
      </c>
      <c r="C31" s="20">
        <v>22</v>
      </c>
      <c r="D31" s="19" t="s">
        <v>4</v>
      </c>
      <c r="Y31" s="18" t="s">
        <v>12</v>
      </c>
      <c r="Z31" s="13">
        <f>COUNTIF(Z3:Z25,4)</f>
        <v>2</v>
      </c>
      <c r="AU31" s="162" t="s">
        <v>12</v>
      </c>
      <c r="AV31" s="104">
        <f>COUNTIF(AV3:AV25,4)</f>
        <v>7</v>
      </c>
      <c r="AY31" s="92"/>
      <c r="BO31" s="162" t="s">
        <v>12</v>
      </c>
      <c r="BP31" s="104">
        <f>COUNTIF(BP3:BP25,4)</f>
        <v>10</v>
      </c>
      <c r="CE31" s="162" t="s">
        <v>12</v>
      </c>
      <c r="CF31" s="104">
        <f>COUNTIF(CF3:CF25,4)</f>
        <v>2</v>
      </c>
    </row>
    <row r="32" spans="1:87">
      <c r="A32" s="315"/>
      <c r="B32" s="327" t="s">
        <v>11</v>
      </c>
      <c r="C32" s="2">
        <f>COUNTIF(J3:J25,"деф.массы")</f>
        <v>0</v>
      </c>
      <c r="D32" s="2">
        <f>C32*100/C31</f>
        <v>0</v>
      </c>
      <c r="Y32" s="16" t="s">
        <v>10</v>
      </c>
      <c r="Z32" s="13">
        <f>COUNTIF(Z3:Z25,3)</f>
        <v>4</v>
      </c>
      <c r="AU32" s="163" t="s">
        <v>135</v>
      </c>
      <c r="AV32" s="104">
        <f>COUNTIF(AV3:AV25,3)</f>
        <v>2</v>
      </c>
      <c r="AY32" s="92"/>
      <c r="BO32" s="163" t="s">
        <v>135</v>
      </c>
      <c r="BP32" s="104">
        <f>COUNTIF(BP3:BP25,3)</f>
        <v>4</v>
      </c>
      <c r="CE32" s="163" t="s">
        <v>135</v>
      </c>
      <c r="CF32" s="104">
        <f>COUNTIF(CF3:CF25,3)</f>
        <v>4</v>
      </c>
    </row>
    <row r="33" spans="1:86">
      <c r="A33" s="315"/>
      <c r="B33" s="328" t="s">
        <v>9</v>
      </c>
      <c r="C33" s="2">
        <f>COUNTIF(J3:J25,"гарм.(-)")</f>
        <v>5</v>
      </c>
      <c r="D33" s="359">
        <f>(C33+C34+C35)*100/C31</f>
        <v>86.36363636363636</v>
      </c>
      <c r="Y33" s="14" t="s">
        <v>230</v>
      </c>
      <c r="Z33" s="13">
        <f>COUNTIF(Z3:Z25,2)</f>
        <v>0</v>
      </c>
      <c r="AU33" s="164" t="s">
        <v>136</v>
      </c>
      <c r="AV33" s="104">
        <f>COUNTIF(AV3:AV25,2)</f>
        <v>0</v>
      </c>
      <c r="AY33" s="92"/>
      <c r="BO33" s="164" t="s">
        <v>136</v>
      </c>
      <c r="BP33" s="104">
        <f>COUNTIF(BP3:BP25,2)</f>
        <v>0</v>
      </c>
      <c r="CE33" s="164" t="s">
        <v>136</v>
      </c>
      <c r="CF33" s="104">
        <f>COUNTIF(CF3:CF25,2)</f>
        <v>0</v>
      </c>
    </row>
    <row r="34" spans="1:86">
      <c r="A34" s="315"/>
      <c r="B34" s="329" t="s">
        <v>7</v>
      </c>
      <c r="C34" s="2">
        <f>COUNTIF(J3:J25,"гармонич.")</f>
        <v>7</v>
      </c>
      <c r="D34" s="360"/>
      <c r="Y34" s="11" t="s">
        <v>6</v>
      </c>
      <c r="Z34" s="10">
        <f>COUNTIF(Z3:Z25,"осв.")</f>
        <v>0</v>
      </c>
      <c r="AU34" s="3" t="s">
        <v>96</v>
      </c>
      <c r="AV34" s="3">
        <f>COUNTIF(AV3:AV25,"осв.")</f>
        <v>0</v>
      </c>
      <c r="AY34" s="92"/>
      <c r="BO34" s="3" t="s">
        <v>96</v>
      </c>
      <c r="BP34" s="3">
        <f>COUNTIF(BP3:BP25,"осв.")</f>
        <v>0</v>
      </c>
      <c r="CE34" s="3" t="s">
        <v>96</v>
      </c>
      <c r="CF34" s="3">
        <f>COUNTIF(CF3:CF25,"осв.")</f>
        <v>0</v>
      </c>
    </row>
    <row r="35" spans="1:86">
      <c r="A35" s="315"/>
      <c r="B35" s="330" t="s">
        <v>5</v>
      </c>
      <c r="C35" s="2">
        <f>COUNTIF(J3:J25,"гарм.(+)")</f>
        <v>7</v>
      </c>
      <c r="D35" s="361"/>
      <c r="Y35" s="8"/>
      <c r="Z35" s="7" t="s">
        <v>4</v>
      </c>
      <c r="AU35" s="8"/>
      <c r="AV35" s="7" t="s">
        <v>4</v>
      </c>
      <c r="AY35" s="92"/>
      <c r="BO35" s="8"/>
      <c r="BP35" s="7" t="s">
        <v>4</v>
      </c>
      <c r="CE35" s="8"/>
      <c r="CF35" s="7" t="s">
        <v>4</v>
      </c>
    </row>
    <row r="36" spans="1:86">
      <c r="A36" s="315"/>
      <c r="B36" s="331" t="s">
        <v>3</v>
      </c>
      <c r="C36" s="2">
        <f>COUNTIF(J3:J25,"тучное")</f>
        <v>3</v>
      </c>
      <c r="D36" s="2">
        <f>C36*100/C31</f>
        <v>13.636363636363637</v>
      </c>
      <c r="Y36" s="3" t="s">
        <v>2</v>
      </c>
      <c r="Z36" s="2">
        <f>AA36*100/Z29</f>
        <v>45.454545454545453</v>
      </c>
      <c r="AA36" s="5">
        <f>COUNTIF(AA3:AA25,5)</f>
        <v>10</v>
      </c>
      <c r="AB36" s="4"/>
      <c r="AU36" s="3" t="s">
        <v>2</v>
      </c>
      <c r="AV36" s="2">
        <f>AX36*100/AV29</f>
        <v>0</v>
      </c>
      <c r="AX36" s="5">
        <f>COUNTIF(AX3:AX25,5)</f>
        <v>0</v>
      </c>
      <c r="BO36" s="3" t="s">
        <v>2</v>
      </c>
      <c r="BP36" s="2">
        <f>BS36*100/BP29</f>
        <v>0</v>
      </c>
      <c r="BR36" s="5">
        <f>COUNTIF(BR3:BR25,5)</f>
        <v>0</v>
      </c>
      <c r="BS36" s="5"/>
      <c r="CE36" s="3" t="s">
        <v>2</v>
      </c>
      <c r="CF36" s="133">
        <f>CH36*100/CF29</f>
        <v>18.181818181818183</v>
      </c>
      <c r="CG36" s="242"/>
      <c r="CH36" s="5">
        <f>COUNTIF(CH3:CH25,5)</f>
        <v>4</v>
      </c>
    </row>
    <row r="37" spans="1:86">
      <c r="A37" s="315"/>
      <c r="B37" s="323"/>
      <c r="C37" s="315"/>
      <c r="D37" s="315"/>
      <c r="Y37" s="3" t="s">
        <v>231</v>
      </c>
      <c r="Z37" s="2">
        <f>(Z30+Z31+Z34)*100/Z29</f>
        <v>81.818181818181813</v>
      </c>
      <c r="AU37" s="3" t="s">
        <v>231</v>
      </c>
      <c r="AV37" s="2">
        <f>(AV30+AV31+AV34)*100/AV29</f>
        <v>90.909090909090907</v>
      </c>
      <c r="AY37" s="143"/>
      <c r="BO37" s="3" t="s">
        <v>231</v>
      </c>
      <c r="BP37" s="2">
        <f>(BP30+BP31+BP34)*100/BP29</f>
        <v>81.818181818181813</v>
      </c>
      <c r="CE37" s="3" t="s">
        <v>231</v>
      </c>
      <c r="CF37" s="2">
        <f>(CF30+CF31+CF34)/CF29*100</f>
        <v>81.818181818181827</v>
      </c>
    </row>
    <row r="38" spans="1:86">
      <c r="A38" s="315"/>
      <c r="B38" s="323"/>
      <c r="C38" s="315"/>
      <c r="D38" s="315"/>
      <c r="Y38" s="3" t="s">
        <v>198</v>
      </c>
      <c r="Z38" s="2">
        <f>(Z30+Z31+Z32-Z33+Z34)*100/Z29</f>
        <v>100</v>
      </c>
      <c r="AU38" s="3" t="s">
        <v>198</v>
      </c>
      <c r="AV38" s="2">
        <f>(AV30+AV31+AV32-AV33+AV34)*100/AV29</f>
        <v>100</v>
      </c>
      <c r="AY38" s="92"/>
      <c r="BO38" s="3" t="s">
        <v>198</v>
      </c>
      <c r="BP38" s="2">
        <f>(BP30+BP31+BP32-BP33+BP34)*100/BP29</f>
        <v>100</v>
      </c>
      <c r="CE38" s="3" t="s">
        <v>198</v>
      </c>
      <c r="CF38" s="2">
        <f>(CF30+CF31+CF32-CF33+CF34)*100/CF29</f>
        <v>100</v>
      </c>
    </row>
    <row r="39" spans="1:86">
      <c r="AY39" s="92"/>
    </row>
    <row r="40" spans="1:86">
      <c r="AY40" s="92"/>
    </row>
    <row r="41" spans="1:86">
      <c r="AY41" s="92"/>
    </row>
    <row r="42" spans="1:86">
      <c r="AY42" s="92"/>
    </row>
    <row r="43" spans="1:86">
      <c r="AY43" s="92"/>
    </row>
    <row r="44" spans="1:86">
      <c r="AY44" s="92"/>
    </row>
    <row r="45" spans="1:86">
      <c r="AY45" s="92"/>
    </row>
  </sheetData>
  <mergeCells count="5">
    <mergeCell ref="BS1:CI1"/>
    <mergeCell ref="D33:D35"/>
    <mergeCell ref="L1:AA1"/>
    <mergeCell ref="A1:K1"/>
    <mergeCell ref="AB1:AX1"/>
  </mergeCells>
  <printOptions gridLines="1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I33"/>
  <sheetViews>
    <sheetView workbookViewId="0">
      <selection activeCell="M13" sqref="M13"/>
    </sheetView>
  </sheetViews>
  <sheetFormatPr defaultColWidth="8.42578125" defaultRowHeight="12.75"/>
  <cols>
    <col min="1" max="1" width="10.85546875" style="1" customWidth="1"/>
    <col min="2" max="2" width="18.5703125" style="1" customWidth="1"/>
    <col min="3" max="3" width="10" style="1" customWidth="1"/>
    <col min="4" max="4" width="10.28515625" style="1" customWidth="1"/>
    <col min="5" max="9" width="8.28515625" style="1" customWidth="1"/>
    <col min="10" max="10" width="10.28515625" style="1" customWidth="1"/>
    <col min="11" max="11" width="8.28515625" style="1" customWidth="1"/>
    <col min="12" max="12" width="18.28515625" style="1" customWidth="1"/>
    <col min="13" max="13" width="6" style="1" customWidth="1"/>
    <col min="14" max="15" width="5.42578125" style="1" customWidth="1"/>
    <col min="16" max="16" width="5.5703125" style="1" customWidth="1"/>
    <col min="17" max="17" width="5.140625" style="1" customWidth="1"/>
    <col min="18" max="18" width="5.42578125" style="1" customWidth="1"/>
    <col min="19" max="20" width="5.140625" style="1" customWidth="1"/>
    <col min="21" max="21" width="5.42578125" style="1" customWidth="1"/>
    <col min="22" max="22" width="5.140625" style="1" customWidth="1"/>
    <col min="23" max="23" width="5" style="1" customWidth="1"/>
    <col min="24" max="24" width="5.42578125" style="1" customWidth="1"/>
    <col min="25" max="25" width="9.5703125" style="1" customWidth="1"/>
    <col min="26" max="26" width="6.85546875" style="1" customWidth="1"/>
    <col min="27" max="27" width="5.140625" style="1" customWidth="1"/>
    <col min="28" max="28" width="18.140625" style="1" customWidth="1"/>
    <col min="29" max="46" width="5.7109375" style="1" customWidth="1"/>
    <col min="47" max="47" width="7.5703125" style="1" customWidth="1"/>
    <col min="48" max="48" width="7.28515625" style="1" customWidth="1"/>
    <col min="49" max="50" width="5.7109375" style="1" customWidth="1"/>
    <col min="51" max="51" width="18.140625" style="1" customWidth="1"/>
    <col min="52" max="66" width="5.7109375" style="1" customWidth="1"/>
    <col min="67" max="67" width="7.7109375" style="1" customWidth="1"/>
    <col min="68" max="68" width="7.42578125" style="1" customWidth="1"/>
    <col min="69" max="82" width="5.7109375" style="1" customWidth="1"/>
    <col min="83" max="83" width="7.42578125" style="1" customWidth="1"/>
    <col min="84" max="84" width="7.5703125" style="1" customWidth="1"/>
    <col min="85" max="86" width="6.5703125" style="1" customWidth="1"/>
    <col min="87" max="87" width="18.28515625" style="1" customWidth="1"/>
    <col min="88" max="258" width="8.42578125" style="1"/>
    <col min="259" max="259" width="10.85546875" style="1" customWidth="1"/>
    <col min="260" max="260" width="18.5703125" style="1" customWidth="1"/>
    <col min="261" max="261" width="10" style="1" customWidth="1"/>
    <col min="262" max="262" width="10.28515625" style="1" customWidth="1"/>
    <col min="263" max="267" width="8.28515625" style="1" customWidth="1"/>
    <col min="268" max="268" width="10.28515625" style="1" customWidth="1"/>
    <col min="269" max="269" width="8.28515625" style="1" customWidth="1"/>
    <col min="270" max="270" width="18.28515625" style="1" customWidth="1"/>
    <col min="271" max="271" width="6" style="1" customWidth="1"/>
    <col min="272" max="273" width="5.42578125" style="1" customWidth="1"/>
    <col min="274" max="274" width="5.5703125" style="1" customWidth="1"/>
    <col min="275" max="275" width="5.140625" style="1" customWidth="1"/>
    <col min="276" max="276" width="5.42578125" style="1" customWidth="1"/>
    <col min="277" max="278" width="5.140625" style="1" customWidth="1"/>
    <col min="279" max="279" width="5.42578125" style="1" customWidth="1"/>
    <col min="280" max="280" width="5.140625" style="1" customWidth="1"/>
    <col min="281" max="281" width="5" style="1" customWidth="1"/>
    <col min="282" max="282" width="5.42578125" style="1" customWidth="1"/>
    <col min="283" max="283" width="9.5703125" style="1" customWidth="1"/>
    <col min="284" max="284" width="6.85546875" style="1" customWidth="1"/>
    <col min="285" max="285" width="5.140625" style="1" customWidth="1"/>
    <col min="286" max="286" width="18.140625" style="1" customWidth="1"/>
    <col min="287" max="304" width="5.7109375" style="1" customWidth="1"/>
    <col min="305" max="305" width="7.5703125" style="1" customWidth="1"/>
    <col min="306" max="306" width="7.28515625" style="1" customWidth="1"/>
    <col min="307" max="308" width="5.7109375" style="1" customWidth="1"/>
    <col min="309" max="309" width="18.140625" style="1" customWidth="1"/>
    <col min="310" max="324" width="5.7109375" style="1" customWidth="1"/>
    <col min="325" max="325" width="6.42578125" style="1" customWidth="1"/>
    <col min="326" max="326" width="7.42578125" style="1" customWidth="1"/>
    <col min="327" max="339" width="5.7109375" style="1" customWidth="1"/>
    <col min="340" max="340" width="6.5703125" style="1" customWidth="1"/>
    <col min="341" max="341" width="7.5703125" style="1" customWidth="1"/>
    <col min="342" max="342" width="6.5703125" style="1" customWidth="1"/>
    <col min="343" max="343" width="18.28515625" style="1" customWidth="1"/>
    <col min="344" max="514" width="8.42578125" style="1"/>
    <col min="515" max="515" width="10.85546875" style="1" customWidth="1"/>
    <col min="516" max="516" width="18.5703125" style="1" customWidth="1"/>
    <col min="517" max="517" width="10" style="1" customWidth="1"/>
    <col min="518" max="518" width="10.28515625" style="1" customWidth="1"/>
    <col min="519" max="523" width="8.28515625" style="1" customWidth="1"/>
    <col min="524" max="524" width="10.28515625" style="1" customWidth="1"/>
    <col min="525" max="525" width="8.28515625" style="1" customWidth="1"/>
    <col min="526" max="526" width="18.28515625" style="1" customWidth="1"/>
    <col min="527" max="527" width="6" style="1" customWidth="1"/>
    <col min="528" max="529" width="5.42578125" style="1" customWidth="1"/>
    <col min="530" max="530" width="5.5703125" style="1" customWidth="1"/>
    <col min="531" max="531" width="5.140625" style="1" customWidth="1"/>
    <col min="532" max="532" width="5.42578125" style="1" customWidth="1"/>
    <col min="533" max="534" width="5.140625" style="1" customWidth="1"/>
    <col min="535" max="535" width="5.42578125" style="1" customWidth="1"/>
    <col min="536" max="536" width="5.140625" style="1" customWidth="1"/>
    <col min="537" max="537" width="5" style="1" customWidth="1"/>
    <col min="538" max="538" width="5.42578125" style="1" customWidth="1"/>
    <col min="539" max="539" width="9.5703125" style="1" customWidth="1"/>
    <col min="540" max="540" width="6.85546875" style="1" customWidth="1"/>
    <col min="541" max="541" width="5.140625" style="1" customWidth="1"/>
    <col min="542" max="542" width="18.140625" style="1" customWidth="1"/>
    <col min="543" max="560" width="5.7109375" style="1" customWidth="1"/>
    <col min="561" max="561" width="7.5703125" style="1" customWidth="1"/>
    <col min="562" max="562" width="7.28515625" style="1" customWidth="1"/>
    <col min="563" max="564" width="5.7109375" style="1" customWidth="1"/>
    <col min="565" max="565" width="18.140625" style="1" customWidth="1"/>
    <col min="566" max="580" width="5.7109375" style="1" customWidth="1"/>
    <col min="581" max="581" width="6.42578125" style="1" customWidth="1"/>
    <col min="582" max="582" width="7.42578125" style="1" customWidth="1"/>
    <col min="583" max="595" width="5.7109375" style="1" customWidth="1"/>
    <col min="596" max="596" width="6.5703125" style="1" customWidth="1"/>
    <col min="597" max="597" width="7.5703125" style="1" customWidth="1"/>
    <col min="598" max="598" width="6.5703125" style="1" customWidth="1"/>
    <col min="599" max="599" width="18.28515625" style="1" customWidth="1"/>
    <col min="600" max="770" width="8.42578125" style="1"/>
    <col min="771" max="771" width="10.85546875" style="1" customWidth="1"/>
    <col min="772" max="772" width="18.5703125" style="1" customWidth="1"/>
    <col min="773" max="773" width="10" style="1" customWidth="1"/>
    <col min="774" max="774" width="10.28515625" style="1" customWidth="1"/>
    <col min="775" max="779" width="8.28515625" style="1" customWidth="1"/>
    <col min="780" max="780" width="10.28515625" style="1" customWidth="1"/>
    <col min="781" max="781" width="8.28515625" style="1" customWidth="1"/>
    <col min="782" max="782" width="18.28515625" style="1" customWidth="1"/>
    <col min="783" max="783" width="6" style="1" customWidth="1"/>
    <col min="784" max="785" width="5.42578125" style="1" customWidth="1"/>
    <col min="786" max="786" width="5.5703125" style="1" customWidth="1"/>
    <col min="787" max="787" width="5.140625" style="1" customWidth="1"/>
    <col min="788" max="788" width="5.42578125" style="1" customWidth="1"/>
    <col min="789" max="790" width="5.140625" style="1" customWidth="1"/>
    <col min="791" max="791" width="5.42578125" style="1" customWidth="1"/>
    <col min="792" max="792" width="5.140625" style="1" customWidth="1"/>
    <col min="793" max="793" width="5" style="1" customWidth="1"/>
    <col min="794" max="794" width="5.42578125" style="1" customWidth="1"/>
    <col min="795" max="795" width="9.5703125" style="1" customWidth="1"/>
    <col min="796" max="796" width="6.85546875" style="1" customWidth="1"/>
    <col min="797" max="797" width="5.140625" style="1" customWidth="1"/>
    <col min="798" max="798" width="18.140625" style="1" customWidth="1"/>
    <col min="799" max="816" width="5.7109375" style="1" customWidth="1"/>
    <col min="817" max="817" width="7.5703125" style="1" customWidth="1"/>
    <col min="818" max="818" width="7.28515625" style="1" customWidth="1"/>
    <col min="819" max="820" width="5.7109375" style="1" customWidth="1"/>
    <col min="821" max="821" width="18.140625" style="1" customWidth="1"/>
    <col min="822" max="836" width="5.7109375" style="1" customWidth="1"/>
    <col min="837" max="837" width="6.42578125" style="1" customWidth="1"/>
    <col min="838" max="838" width="7.42578125" style="1" customWidth="1"/>
    <col min="839" max="851" width="5.7109375" style="1" customWidth="1"/>
    <col min="852" max="852" width="6.5703125" style="1" customWidth="1"/>
    <col min="853" max="853" width="7.5703125" style="1" customWidth="1"/>
    <col min="854" max="854" width="6.5703125" style="1" customWidth="1"/>
    <col min="855" max="855" width="18.28515625" style="1" customWidth="1"/>
    <col min="856" max="1026" width="8.42578125" style="1"/>
    <col min="1027" max="1027" width="10.85546875" style="1" customWidth="1"/>
    <col min="1028" max="1028" width="18.5703125" style="1" customWidth="1"/>
    <col min="1029" max="1029" width="10" style="1" customWidth="1"/>
    <col min="1030" max="1030" width="10.28515625" style="1" customWidth="1"/>
    <col min="1031" max="1035" width="8.28515625" style="1" customWidth="1"/>
    <col min="1036" max="1036" width="10.28515625" style="1" customWidth="1"/>
    <col min="1037" max="1037" width="8.28515625" style="1" customWidth="1"/>
    <col min="1038" max="1038" width="18.28515625" style="1" customWidth="1"/>
    <col min="1039" max="1039" width="6" style="1" customWidth="1"/>
    <col min="1040" max="1041" width="5.42578125" style="1" customWidth="1"/>
    <col min="1042" max="1042" width="5.5703125" style="1" customWidth="1"/>
    <col min="1043" max="1043" width="5.140625" style="1" customWidth="1"/>
    <col min="1044" max="1044" width="5.42578125" style="1" customWidth="1"/>
    <col min="1045" max="1046" width="5.140625" style="1" customWidth="1"/>
    <col min="1047" max="1047" width="5.42578125" style="1" customWidth="1"/>
    <col min="1048" max="1048" width="5.140625" style="1" customWidth="1"/>
    <col min="1049" max="1049" width="5" style="1" customWidth="1"/>
    <col min="1050" max="1050" width="5.42578125" style="1" customWidth="1"/>
    <col min="1051" max="1051" width="9.5703125" style="1" customWidth="1"/>
    <col min="1052" max="1052" width="6.85546875" style="1" customWidth="1"/>
    <col min="1053" max="1053" width="5.140625" style="1" customWidth="1"/>
    <col min="1054" max="1054" width="18.140625" style="1" customWidth="1"/>
    <col min="1055" max="1072" width="5.7109375" style="1" customWidth="1"/>
    <col min="1073" max="1073" width="7.5703125" style="1" customWidth="1"/>
    <col min="1074" max="1074" width="7.28515625" style="1" customWidth="1"/>
    <col min="1075" max="1076" width="5.7109375" style="1" customWidth="1"/>
    <col min="1077" max="1077" width="18.140625" style="1" customWidth="1"/>
    <col min="1078" max="1092" width="5.7109375" style="1" customWidth="1"/>
    <col min="1093" max="1093" width="6.42578125" style="1" customWidth="1"/>
    <col min="1094" max="1094" width="7.42578125" style="1" customWidth="1"/>
    <col min="1095" max="1107" width="5.7109375" style="1" customWidth="1"/>
    <col min="1108" max="1108" width="6.5703125" style="1" customWidth="1"/>
    <col min="1109" max="1109" width="7.5703125" style="1" customWidth="1"/>
    <col min="1110" max="1110" width="6.5703125" style="1" customWidth="1"/>
    <col min="1111" max="1111" width="18.28515625" style="1" customWidth="1"/>
    <col min="1112" max="1282" width="8.42578125" style="1"/>
    <col min="1283" max="1283" width="10.85546875" style="1" customWidth="1"/>
    <col min="1284" max="1284" width="18.5703125" style="1" customWidth="1"/>
    <col min="1285" max="1285" width="10" style="1" customWidth="1"/>
    <col min="1286" max="1286" width="10.28515625" style="1" customWidth="1"/>
    <col min="1287" max="1291" width="8.28515625" style="1" customWidth="1"/>
    <col min="1292" max="1292" width="10.28515625" style="1" customWidth="1"/>
    <col min="1293" max="1293" width="8.28515625" style="1" customWidth="1"/>
    <col min="1294" max="1294" width="18.28515625" style="1" customWidth="1"/>
    <col min="1295" max="1295" width="6" style="1" customWidth="1"/>
    <col min="1296" max="1297" width="5.42578125" style="1" customWidth="1"/>
    <col min="1298" max="1298" width="5.5703125" style="1" customWidth="1"/>
    <col min="1299" max="1299" width="5.140625" style="1" customWidth="1"/>
    <col min="1300" max="1300" width="5.42578125" style="1" customWidth="1"/>
    <col min="1301" max="1302" width="5.140625" style="1" customWidth="1"/>
    <col min="1303" max="1303" width="5.42578125" style="1" customWidth="1"/>
    <col min="1304" max="1304" width="5.140625" style="1" customWidth="1"/>
    <col min="1305" max="1305" width="5" style="1" customWidth="1"/>
    <col min="1306" max="1306" width="5.42578125" style="1" customWidth="1"/>
    <col min="1307" max="1307" width="9.5703125" style="1" customWidth="1"/>
    <col min="1308" max="1308" width="6.85546875" style="1" customWidth="1"/>
    <col min="1309" max="1309" width="5.140625" style="1" customWidth="1"/>
    <col min="1310" max="1310" width="18.140625" style="1" customWidth="1"/>
    <col min="1311" max="1328" width="5.7109375" style="1" customWidth="1"/>
    <col min="1329" max="1329" width="7.5703125" style="1" customWidth="1"/>
    <col min="1330" max="1330" width="7.28515625" style="1" customWidth="1"/>
    <col min="1331" max="1332" width="5.7109375" style="1" customWidth="1"/>
    <col min="1333" max="1333" width="18.140625" style="1" customWidth="1"/>
    <col min="1334" max="1348" width="5.7109375" style="1" customWidth="1"/>
    <col min="1349" max="1349" width="6.42578125" style="1" customWidth="1"/>
    <col min="1350" max="1350" width="7.42578125" style="1" customWidth="1"/>
    <col min="1351" max="1363" width="5.7109375" style="1" customWidth="1"/>
    <col min="1364" max="1364" width="6.5703125" style="1" customWidth="1"/>
    <col min="1365" max="1365" width="7.5703125" style="1" customWidth="1"/>
    <col min="1366" max="1366" width="6.5703125" style="1" customWidth="1"/>
    <col min="1367" max="1367" width="18.28515625" style="1" customWidth="1"/>
    <col min="1368" max="1538" width="8.42578125" style="1"/>
    <col min="1539" max="1539" width="10.85546875" style="1" customWidth="1"/>
    <col min="1540" max="1540" width="18.5703125" style="1" customWidth="1"/>
    <col min="1541" max="1541" width="10" style="1" customWidth="1"/>
    <col min="1542" max="1542" width="10.28515625" style="1" customWidth="1"/>
    <col min="1543" max="1547" width="8.28515625" style="1" customWidth="1"/>
    <col min="1548" max="1548" width="10.28515625" style="1" customWidth="1"/>
    <col min="1549" max="1549" width="8.28515625" style="1" customWidth="1"/>
    <col min="1550" max="1550" width="18.28515625" style="1" customWidth="1"/>
    <col min="1551" max="1551" width="6" style="1" customWidth="1"/>
    <col min="1552" max="1553" width="5.42578125" style="1" customWidth="1"/>
    <col min="1554" max="1554" width="5.5703125" style="1" customWidth="1"/>
    <col min="1555" max="1555" width="5.140625" style="1" customWidth="1"/>
    <col min="1556" max="1556" width="5.42578125" style="1" customWidth="1"/>
    <col min="1557" max="1558" width="5.140625" style="1" customWidth="1"/>
    <col min="1559" max="1559" width="5.42578125" style="1" customWidth="1"/>
    <col min="1560" max="1560" width="5.140625" style="1" customWidth="1"/>
    <col min="1561" max="1561" width="5" style="1" customWidth="1"/>
    <col min="1562" max="1562" width="5.42578125" style="1" customWidth="1"/>
    <col min="1563" max="1563" width="9.5703125" style="1" customWidth="1"/>
    <col min="1564" max="1564" width="6.85546875" style="1" customWidth="1"/>
    <col min="1565" max="1565" width="5.140625" style="1" customWidth="1"/>
    <col min="1566" max="1566" width="18.140625" style="1" customWidth="1"/>
    <col min="1567" max="1584" width="5.7109375" style="1" customWidth="1"/>
    <col min="1585" max="1585" width="7.5703125" style="1" customWidth="1"/>
    <col min="1586" max="1586" width="7.28515625" style="1" customWidth="1"/>
    <col min="1587" max="1588" width="5.7109375" style="1" customWidth="1"/>
    <col min="1589" max="1589" width="18.140625" style="1" customWidth="1"/>
    <col min="1590" max="1604" width="5.7109375" style="1" customWidth="1"/>
    <col min="1605" max="1605" width="6.42578125" style="1" customWidth="1"/>
    <col min="1606" max="1606" width="7.42578125" style="1" customWidth="1"/>
    <col min="1607" max="1619" width="5.7109375" style="1" customWidth="1"/>
    <col min="1620" max="1620" width="6.5703125" style="1" customWidth="1"/>
    <col min="1621" max="1621" width="7.5703125" style="1" customWidth="1"/>
    <col min="1622" max="1622" width="6.5703125" style="1" customWidth="1"/>
    <col min="1623" max="1623" width="18.28515625" style="1" customWidth="1"/>
    <col min="1624" max="1794" width="8.42578125" style="1"/>
    <col min="1795" max="1795" width="10.85546875" style="1" customWidth="1"/>
    <col min="1796" max="1796" width="18.5703125" style="1" customWidth="1"/>
    <col min="1797" max="1797" width="10" style="1" customWidth="1"/>
    <col min="1798" max="1798" width="10.28515625" style="1" customWidth="1"/>
    <col min="1799" max="1803" width="8.28515625" style="1" customWidth="1"/>
    <col min="1804" max="1804" width="10.28515625" style="1" customWidth="1"/>
    <col min="1805" max="1805" width="8.28515625" style="1" customWidth="1"/>
    <col min="1806" max="1806" width="18.28515625" style="1" customWidth="1"/>
    <col min="1807" max="1807" width="6" style="1" customWidth="1"/>
    <col min="1808" max="1809" width="5.42578125" style="1" customWidth="1"/>
    <col min="1810" max="1810" width="5.5703125" style="1" customWidth="1"/>
    <col min="1811" max="1811" width="5.140625" style="1" customWidth="1"/>
    <col min="1812" max="1812" width="5.42578125" style="1" customWidth="1"/>
    <col min="1813" max="1814" width="5.140625" style="1" customWidth="1"/>
    <col min="1815" max="1815" width="5.42578125" style="1" customWidth="1"/>
    <col min="1816" max="1816" width="5.140625" style="1" customWidth="1"/>
    <col min="1817" max="1817" width="5" style="1" customWidth="1"/>
    <col min="1818" max="1818" width="5.42578125" style="1" customWidth="1"/>
    <col min="1819" max="1819" width="9.5703125" style="1" customWidth="1"/>
    <col min="1820" max="1820" width="6.85546875" style="1" customWidth="1"/>
    <col min="1821" max="1821" width="5.140625" style="1" customWidth="1"/>
    <col min="1822" max="1822" width="18.140625" style="1" customWidth="1"/>
    <col min="1823" max="1840" width="5.7109375" style="1" customWidth="1"/>
    <col min="1841" max="1841" width="7.5703125" style="1" customWidth="1"/>
    <col min="1842" max="1842" width="7.28515625" style="1" customWidth="1"/>
    <col min="1843" max="1844" width="5.7109375" style="1" customWidth="1"/>
    <col min="1845" max="1845" width="18.140625" style="1" customWidth="1"/>
    <col min="1846" max="1860" width="5.7109375" style="1" customWidth="1"/>
    <col min="1861" max="1861" width="6.42578125" style="1" customWidth="1"/>
    <col min="1862" max="1862" width="7.42578125" style="1" customWidth="1"/>
    <col min="1863" max="1875" width="5.7109375" style="1" customWidth="1"/>
    <col min="1876" max="1876" width="6.5703125" style="1" customWidth="1"/>
    <col min="1877" max="1877" width="7.5703125" style="1" customWidth="1"/>
    <col min="1878" max="1878" width="6.5703125" style="1" customWidth="1"/>
    <col min="1879" max="1879" width="18.28515625" style="1" customWidth="1"/>
    <col min="1880" max="2050" width="8.42578125" style="1"/>
    <col min="2051" max="2051" width="10.85546875" style="1" customWidth="1"/>
    <col min="2052" max="2052" width="18.5703125" style="1" customWidth="1"/>
    <col min="2053" max="2053" width="10" style="1" customWidth="1"/>
    <col min="2054" max="2054" width="10.28515625" style="1" customWidth="1"/>
    <col min="2055" max="2059" width="8.28515625" style="1" customWidth="1"/>
    <col min="2060" max="2060" width="10.28515625" style="1" customWidth="1"/>
    <col min="2061" max="2061" width="8.28515625" style="1" customWidth="1"/>
    <col min="2062" max="2062" width="18.28515625" style="1" customWidth="1"/>
    <col min="2063" max="2063" width="6" style="1" customWidth="1"/>
    <col min="2064" max="2065" width="5.42578125" style="1" customWidth="1"/>
    <col min="2066" max="2066" width="5.5703125" style="1" customWidth="1"/>
    <col min="2067" max="2067" width="5.140625" style="1" customWidth="1"/>
    <col min="2068" max="2068" width="5.42578125" style="1" customWidth="1"/>
    <col min="2069" max="2070" width="5.140625" style="1" customWidth="1"/>
    <col min="2071" max="2071" width="5.42578125" style="1" customWidth="1"/>
    <col min="2072" max="2072" width="5.140625" style="1" customWidth="1"/>
    <col min="2073" max="2073" width="5" style="1" customWidth="1"/>
    <col min="2074" max="2074" width="5.42578125" style="1" customWidth="1"/>
    <col min="2075" max="2075" width="9.5703125" style="1" customWidth="1"/>
    <col min="2076" max="2076" width="6.85546875" style="1" customWidth="1"/>
    <col min="2077" max="2077" width="5.140625" style="1" customWidth="1"/>
    <col min="2078" max="2078" width="18.140625" style="1" customWidth="1"/>
    <col min="2079" max="2096" width="5.7109375" style="1" customWidth="1"/>
    <col min="2097" max="2097" width="7.5703125" style="1" customWidth="1"/>
    <col min="2098" max="2098" width="7.28515625" style="1" customWidth="1"/>
    <col min="2099" max="2100" width="5.7109375" style="1" customWidth="1"/>
    <col min="2101" max="2101" width="18.140625" style="1" customWidth="1"/>
    <col min="2102" max="2116" width="5.7109375" style="1" customWidth="1"/>
    <col min="2117" max="2117" width="6.42578125" style="1" customWidth="1"/>
    <col min="2118" max="2118" width="7.42578125" style="1" customWidth="1"/>
    <col min="2119" max="2131" width="5.7109375" style="1" customWidth="1"/>
    <col min="2132" max="2132" width="6.5703125" style="1" customWidth="1"/>
    <col min="2133" max="2133" width="7.5703125" style="1" customWidth="1"/>
    <col min="2134" max="2134" width="6.5703125" style="1" customWidth="1"/>
    <col min="2135" max="2135" width="18.28515625" style="1" customWidth="1"/>
    <col min="2136" max="2306" width="8.42578125" style="1"/>
    <col min="2307" max="2307" width="10.85546875" style="1" customWidth="1"/>
    <col min="2308" max="2308" width="18.5703125" style="1" customWidth="1"/>
    <col min="2309" max="2309" width="10" style="1" customWidth="1"/>
    <col min="2310" max="2310" width="10.28515625" style="1" customWidth="1"/>
    <col min="2311" max="2315" width="8.28515625" style="1" customWidth="1"/>
    <col min="2316" max="2316" width="10.28515625" style="1" customWidth="1"/>
    <col min="2317" max="2317" width="8.28515625" style="1" customWidth="1"/>
    <col min="2318" max="2318" width="18.28515625" style="1" customWidth="1"/>
    <col min="2319" max="2319" width="6" style="1" customWidth="1"/>
    <col min="2320" max="2321" width="5.42578125" style="1" customWidth="1"/>
    <col min="2322" max="2322" width="5.5703125" style="1" customWidth="1"/>
    <col min="2323" max="2323" width="5.140625" style="1" customWidth="1"/>
    <col min="2324" max="2324" width="5.42578125" style="1" customWidth="1"/>
    <col min="2325" max="2326" width="5.140625" style="1" customWidth="1"/>
    <col min="2327" max="2327" width="5.42578125" style="1" customWidth="1"/>
    <col min="2328" max="2328" width="5.140625" style="1" customWidth="1"/>
    <col min="2329" max="2329" width="5" style="1" customWidth="1"/>
    <col min="2330" max="2330" width="5.42578125" style="1" customWidth="1"/>
    <col min="2331" max="2331" width="9.5703125" style="1" customWidth="1"/>
    <col min="2332" max="2332" width="6.85546875" style="1" customWidth="1"/>
    <col min="2333" max="2333" width="5.140625" style="1" customWidth="1"/>
    <col min="2334" max="2334" width="18.140625" style="1" customWidth="1"/>
    <col min="2335" max="2352" width="5.7109375" style="1" customWidth="1"/>
    <col min="2353" max="2353" width="7.5703125" style="1" customWidth="1"/>
    <col min="2354" max="2354" width="7.28515625" style="1" customWidth="1"/>
    <col min="2355" max="2356" width="5.7109375" style="1" customWidth="1"/>
    <col min="2357" max="2357" width="18.140625" style="1" customWidth="1"/>
    <col min="2358" max="2372" width="5.7109375" style="1" customWidth="1"/>
    <col min="2373" max="2373" width="6.42578125" style="1" customWidth="1"/>
    <col min="2374" max="2374" width="7.42578125" style="1" customWidth="1"/>
    <col min="2375" max="2387" width="5.7109375" style="1" customWidth="1"/>
    <col min="2388" max="2388" width="6.5703125" style="1" customWidth="1"/>
    <col min="2389" max="2389" width="7.5703125" style="1" customWidth="1"/>
    <col min="2390" max="2390" width="6.5703125" style="1" customWidth="1"/>
    <col min="2391" max="2391" width="18.28515625" style="1" customWidth="1"/>
    <col min="2392" max="2562" width="8.42578125" style="1"/>
    <col min="2563" max="2563" width="10.85546875" style="1" customWidth="1"/>
    <col min="2564" max="2564" width="18.5703125" style="1" customWidth="1"/>
    <col min="2565" max="2565" width="10" style="1" customWidth="1"/>
    <col min="2566" max="2566" width="10.28515625" style="1" customWidth="1"/>
    <col min="2567" max="2571" width="8.28515625" style="1" customWidth="1"/>
    <col min="2572" max="2572" width="10.28515625" style="1" customWidth="1"/>
    <col min="2573" max="2573" width="8.28515625" style="1" customWidth="1"/>
    <col min="2574" max="2574" width="18.28515625" style="1" customWidth="1"/>
    <col min="2575" max="2575" width="6" style="1" customWidth="1"/>
    <col min="2576" max="2577" width="5.42578125" style="1" customWidth="1"/>
    <col min="2578" max="2578" width="5.5703125" style="1" customWidth="1"/>
    <col min="2579" max="2579" width="5.140625" style="1" customWidth="1"/>
    <col min="2580" max="2580" width="5.42578125" style="1" customWidth="1"/>
    <col min="2581" max="2582" width="5.140625" style="1" customWidth="1"/>
    <col min="2583" max="2583" width="5.42578125" style="1" customWidth="1"/>
    <col min="2584" max="2584" width="5.140625" style="1" customWidth="1"/>
    <col min="2585" max="2585" width="5" style="1" customWidth="1"/>
    <col min="2586" max="2586" width="5.42578125" style="1" customWidth="1"/>
    <col min="2587" max="2587" width="9.5703125" style="1" customWidth="1"/>
    <col min="2588" max="2588" width="6.85546875" style="1" customWidth="1"/>
    <col min="2589" max="2589" width="5.140625" style="1" customWidth="1"/>
    <col min="2590" max="2590" width="18.140625" style="1" customWidth="1"/>
    <col min="2591" max="2608" width="5.7109375" style="1" customWidth="1"/>
    <col min="2609" max="2609" width="7.5703125" style="1" customWidth="1"/>
    <col min="2610" max="2610" width="7.28515625" style="1" customWidth="1"/>
    <col min="2611" max="2612" width="5.7109375" style="1" customWidth="1"/>
    <col min="2613" max="2613" width="18.140625" style="1" customWidth="1"/>
    <col min="2614" max="2628" width="5.7109375" style="1" customWidth="1"/>
    <col min="2629" max="2629" width="6.42578125" style="1" customWidth="1"/>
    <col min="2630" max="2630" width="7.42578125" style="1" customWidth="1"/>
    <col min="2631" max="2643" width="5.7109375" style="1" customWidth="1"/>
    <col min="2644" max="2644" width="6.5703125" style="1" customWidth="1"/>
    <col min="2645" max="2645" width="7.5703125" style="1" customWidth="1"/>
    <col min="2646" max="2646" width="6.5703125" style="1" customWidth="1"/>
    <col min="2647" max="2647" width="18.28515625" style="1" customWidth="1"/>
    <col min="2648" max="2818" width="8.42578125" style="1"/>
    <col min="2819" max="2819" width="10.85546875" style="1" customWidth="1"/>
    <col min="2820" max="2820" width="18.5703125" style="1" customWidth="1"/>
    <col min="2821" max="2821" width="10" style="1" customWidth="1"/>
    <col min="2822" max="2822" width="10.28515625" style="1" customWidth="1"/>
    <col min="2823" max="2827" width="8.28515625" style="1" customWidth="1"/>
    <col min="2828" max="2828" width="10.28515625" style="1" customWidth="1"/>
    <col min="2829" max="2829" width="8.28515625" style="1" customWidth="1"/>
    <col min="2830" max="2830" width="18.28515625" style="1" customWidth="1"/>
    <col min="2831" max="2831" width="6" style="1" customWidth="1"/>
    <col min="2832" max="2833" width="5.42578125" style="1" customWidth="1"/>
    <col min="2834" max="2834" width="5.5703125" style="1" customWidth="1"/>
    <col min="2835" max="2835" width="5.140625" style="1" customWidth="1"/>
    <col min="2836" max="2836" width="5.42578125" style="1" customWidth="1"/>
    <col min="2837" max="2838" width="5.140625" style="1" customWidth="1"/>
    <col min="2839" max="2839" width="5.42578125" style="1" customWidth="1"/>
    <col min="2840" max="2840" width="5.140625" style="1" customWidth="1"/>
    <col min="2841" max="2841" width="5" style="1" customWidth="1"/>
    <col min="2842" max="2842" width="5.42578125" style="1" customWidth="1"/>
    <col min="2843" max="2843" width="9.5703125" style="1" customWidth="1"/>
    <col min="2844" max="2844" width="6.85546875" style="1" customWidth="1"/>
    <col min="2845" max="2845" width="5.140625" style="1" customWidth="1"/>
    <col min="2846" max="2846" width="18.140625" style="1" customWidth="1"/>
    <col min="2847" max="2864" width="5.7109375" style="1" customWidth="1"/>
    <col min="2865" max="2865" width="7.5703125" style="1" customWidth="1"/>
    <col min="2866" max="2866" width="7.28515625" style="1" customWidth="1"/>
    <col min="2867" max="2868" width="5.7109375" style="1" customWidth="1"/>
    <col min="2869" max="2869" width="18.140625" style="1" customWidth="1"/>
    <col min="2870" max="2884" width="5.7109375" style="1" customWidth="1"/>
    <col min="2885" max="2885" width="6.42578125" style="1" customWidth="1"/>
    <col min="2886" max="2886" width="7.42578125" style="1" customWidth="1"/>
    <col min="2887" max="2899" width="5.7109375" style="1" customWidth="1"/>
    <col min="2900" max="2900" width="6.5703125" style="1" customWidth="1"/>
    <col min="2901" max="2901" width="7.5703125" style="1" customWidth="1"/>
    <col min="2902" max="2902" width="6.5703125" style="1" customWidth="1"/>
    <col min="2903" max="2903" width="18.28515625" style="1" customWidth="1"/>
    <col min="2904" max="3074" width="8.42578125" style="1"/>
    <col min="3075" max="3075" width="10.85546875" style="1" customWidth="1"/>
    <col min="3076" max="3076" width="18.5703125" style="1" customWidth="1"/>
    <col min="3077" max="3077" width="10" style="1" customWidth="1"/>
    <col min="3078" max="3078" width="10.28515625" style="1" customWidth="1"/>
    <col min="3079" max="3083" width="8.28515625" style="1" customWidth="1"/>
    <col min="3084" max="3084" width="10.28515625" style="1" customWidth="1"/>
    <col min="3085" max="3085" width="8.28515625" style="1" customWidth="1"/>
    <col min="3086" max="3086" width="18.28515625" style="1" customWidth="1"/>
    <col min="3087" max="3087" width="6" style="1" customWidth="1"/>
    <col min="3088" max="3089" width="5.42578125" style="1" customWidth="1"/>
    <col min="3090" max="3090" width="5.5703125" style="1" customWidth="1"/>
    <col min="3091" max="3091" width="5.140625" style="1" customWidth="1"/>
    <col min="3092" max="3092" width="5.42578125" style="1" customWidth="1"/>
    <col min="3093" max="3094" width="5.140625" style="1" customWidth="1"/>
    <col min="3095" max="3095" width="5.42578125" style="1" customWidth="1"/>
    <col min="3096" max="3096" width="5.140625" style="1" customWidth="1"/>
    <col min="3097" max="3097" width="5" style="1" customWidth="1"/>
    <col min="3098" max="3098" width="5.42578125" style="1" customWidth="1"/>
    <col min="3099" max="3099" width="9.5703125" style="1" customWidth="1"/>
    <col min="3100" max="3100" width="6.85546875" style="1" customWidth="1"/>
    <col min="3101" max="3101" width="5.140625" style="1" customWidth="1"/>
    <col min="3102" max="3102" width="18.140625" style="1" customWidth="1"/>
    <col min="3103" max="3120" width="5.7109375" style="1" customWidth="1"/>
    <col min="3121" max="3121" width="7.5703125" style="1" customWidth="1"/>
    <col min="3122" max="3122" width="7.28515625" style="1" customWidth="1"/>
    <col min="3123" max="3124" width="5.7109375" style="1" customWidth="1"/>
    <col min="3125" max="3125" width="18.140625" style="1" customWidth="1"/>
    <col min="3126" max="3140" width="5.7109375" style="1" customWidth="1"/>
    <col min="3141" max="3141" width="6.42578125" style="1" customWidth="1"/>
    <col min="3142" max="3142" width="7.42578125" style="1" customWidth="1"/>
    <col min="3143" max="3155" width="5.7109375" style="1" customWidth="1"/>
    <col min="3156" max="3156" width="6.5703125" style="1" customWidth="1"/>
    <col min="3157" max="3157" width="7.5703125" style="1" customWidth="1"/>
    <col min="3158" max="3158" width="6.5703125" style="1" customWidth="1"/>
    <col min="3159" max="3159" width="18.28515625" style="1" customWidth="1"/>
    <col min="3160" max="3330" width="8.42578125" style="1"/>
    <col min="3331" max="3331" width="10.85546875" style="1" customWidth="1"/>
    <col min="3332" max="3332" width="18.5703125" style="1" customWidth="1"/>
    <col min="3333" max="3333" width="10" style="1" customWidth="1"/>
    <col min="3334" max="3334" width="10.28515625" style="1" customWidth="1"/>
    <col min="3335" max="3339" width="8.28515625" style="1" customWidth="1"/>
    <col min="3340" max="3340" width="10.28515625" style="1" customWidth="1"/>
    <col min="3341" max="3341" width="8.28515625" style="1" customWidth="1"/>
    <col min="3342" max="3342" width="18.28515625" style="1" customWidth="1"/>
    <col min="3343" max="3343" width="6" style="1" customWidth="1"/>
    <col min="3344" max="3345" width="5.42578125" style="1" customWidth="1"/>
    <col min="3346" max="3346" width="5.5703125" style="1" customWidth="1"/>
    <col min="3347" max="3347" width="5.140625" style="1" customWidth="1"/>
    <col min="3348" max="3348" width="5.42578125" style="1" customWidth="1"/>
    <col min="3349" max="3350" width="5.140625" style="1" customWidth="1"/>
    <col min="3351" max="3351" width="5.42578125" style="1" customWidth="1"/>
    <col min="3352" max="3352" width="5.140625" style="1" customWidth="1"/>
    <col min="3353" max="3353" width="5" style="1" customWidth="1"/>
    <col min="3354" max="3354" width="5.42578125" style="1" customWidth="1"/>
    <col min="3355" max="3355" width="9.5703125" style="1" customWidth="1"/>
    <col min="3356" max="3356" width="6.85546875" style="1" customWidth="1"/>
    <col min="3357" max="3357" width="5.140625" style="1" customWidth="1"/>
    <col min="3358" max="3358" width="18.140625" style="1" customWidth="1"/>
    <col min="3359" max="3376" width="5.7109375" style="1" customWidth="1"/>
    <col min="3377" max="3377" width="7.5703125" style="1" customWidth="1"/>
    <col min="3378" max="3378" width="7.28515625" style="1" customWidth="1"/>
    <col min="3379" max="3380" width="5.7109375" style="1" customWidth="1"/>
    <col min="3381" max="3381" width="18.140625" style="1" customWidth="1"/>
    <col min="3382" max="3396" width="5.7109375" style="1" customWidth="1"/>
    <col min="3397" max="3397" width="6.42578125" style="1" customWidth="1"/>
    <col min="3398" max="3398" width="7.42578125" style="1" customWidth="1"/>
    <col min="3399" max="3411" width="5.7109375" style="1" customWidth="1"/>
    <col min="3412" max="3412" width="6.5703125" style="1" customWidth="1"/>
    <col min="3413" max="3413" width="7.5703125" style="1" customWidth="1"/>
    <col min="3414" max="3414" width="6.5703125" style="1" customWidth="1"/>
    <col min="3415" max="3415" width="18.28515625" style="1" customWidth="1"/>
    <col min="3416" max="3586" width="8.42578125" style="1"/>
    <col min="3587" max="3587" width="10.85546875" style="1" customWidth="1"/>
    <col min="3588" max="3588" width="18.5703125" style="1" customWidth="1"/>
    <col min="3589" max="3589" width="10" style="1" customWidth="1"/>
    <col min="3590" max="3590" width="10.28515625" style="1" customWidth="1"/>
    <col min="3591" max="3595" width="8.28515625" style="1" customWidth="1"/>
    <col min="3596" max="3596" width="10.28515625" style="1" customWidth="1"/>
    <col min="3597" max="3597" width="8.28515625" style="1" customWidth="1"/>
    <col min="3598" max="3598" width="18.28515625" style="1" customWidth="1"/>
    <col min="3599" max="3599" width="6" style="1" customWidth="1"/>
    <col min="3600" max="3601" width="5.42578125" style="1" customWidth="1"/>
    <col min="3602" max="3602" width="5.5703125" style="1" customWidth="1"/>
    <col min="3603" max="3603" width="5.140625" style="1" customWidth="1"/>
    <col min="3604" max="3604" width="5.42578125" style="1" customWidth="1"/>
    <col min="3605" max="3606" width="5.140625" style="1" customWidth="1"/>
    <col min="3607" max="3607" width="5.42578125" style="1" customWidth="1"/>
    <col min="3608" max="3608" width="5.140625" style="1" customWidth="1"/>
    <col min="3609" max="3609" width="5" style="1" customWidth="1"/>
    <col min="3610" max="3610" width="5.42578125" style="1" customWidth="1"/>
    <col min="3611" max="3611" width="9.5703125" style="1" customWidth="1"/>
    <col min="3612" max="3612" width="6.85546875" style="1" customWidth="1"/>
    <col min="3613" max="3613" width="5.140625" style="1" customWidth="1"/>
    <col min="3614" max="3614" width="18.140625" style="1" customWidth="1"/>
    <col min="3615" max="3632" width="5.7109375" style="1" customWidth="1"/>
    <col min="3633" max="3633" width="7.5703125" style="1" customWidth="1"/>
    <col min="3634" max="3634" width="7.28515625" style="1" customWidth="1"/>
    <col min="3635" max="3636" width="5.7109375" style="1" customWidth="1"/>
    <col min="3637" max="3637" width="18.140625" style="1" customWidth="1"/>
    <col min="3638" max="3652" width="5.7109375" style="1" customWidth="1"/>
    <col min="3653" max="3653" width="6.42578125" style="1" customWidth="1"/>
    <col min="3654" max="3654" width="7.42578125" style="1" customWidth="1"/>
    <col min="3655" max="3667" width="5.7109375" style="1" customWidth="1"/>
    <col min="3668" max="3668" width="6.5703125" style="1" customWidth="1"/>
    <col min="3669" max="3669" width="7.5703125" style="1" customWidth="1"/>
    <col min="3670" max="3670" width="6.5703125" style="1" customWidth="1"/>
    <col min="3671" max="3671" width="18.28515625" style="1" customWidth="1"/>
    <col min="3672" max="3842" width="8.42578125" style="1"/>
    <col min="3843" max="3843" width="10.85546875" style="1" customWidth="1"/>
    <col min="3844" max="3844" width="18.5703125" style="1" customWidth="1"/>
    <col min="3845" max="3845" width="10" style="1" customWidth="1"/>
    <col min="3846" max="3846" width="10.28515625" style="1" customWidth="1"/>
    <col min="3847" max="3851" width="8.28515625" style="1" customWidth="1"/>
    <col min="3852" max="3852" width="10.28515625" style="1" customWidth="1"/>
    <col min="3853" max="3853" width="8.28515625" style="1" customWidth="1"/>
    <col min="3854" max="3854" width="18.28515625" style="1" customWidth="1"/>
    <col min="3855" max="3855" width="6" style="1" customWidth="1"/>
    <col min="3856" max="3857" width="5.42578125" style="1" customWidth="1"/>
    <col min="3858" max="3858" width="5.5703125" style="1" customWidth="1"/>
    <col min="3859" max="3859" width="5.140625" style="1" customWidth="1"/>
    <col min="3860" max="3860" width="5.42578125" style="1" customWidth="1"/>
    <col min="3861" max="3862" width="5.140625" style="1" customWidth="1"/>
    <col min="3863" max="3863" width="5.42578125" style="1" customWidth="1"/>
    <col min="3864" max="3864" width="5.140625" style="1" customWidth="1"/>
    <col min="3865" max="3865" width="5" style="1" customWidth="1"/>
    <col min="3866" max="3866" width="5.42578125" style="1" customWidth="1"/>
    <col min="3867" max="3867" width="9.5703125" style="1" customWidth="1"/>
    <col min="3868" max="3868" width="6.85546875" style="1" customWidth="1"/>
    <col min="3869" max="3869" width="5.140625" style="1" customWidth="1"/>
    <col min="3870" max="3870" width="18.140625" style="1" customWidth="1"/>
    <col min="3871" max="3888" width="5.7109375" style="1" customWidth="1"/>
    <col min="3889" max="3889" width="7.5703125" style="1" customWidth="1"/>
    <col min="3890" max="3890" width="7.28515625" style="1" customWidth="1"/>
    <col min="3891" max="3892" width="5.7109375" style="1" customWidth="1"/>
    <col min="3893" max="3893" width="18.140625" style="1" customWidth="1"/>
    <col min="3894" max="3908" width="5.7109375" style="1" customWidth="1"/>
    <col min="3909" max="3909" width="6.42578125" style="1" customWidth="1"/>
    <col min="3910" max="3910" width="7.42578125" style="1" customWidth="1"/>
    <col min="3911" max="3923" width="5.7109375" style="1" customWidth="1"/>
    <col min="3924" max="3924" width="6.5703125" style="1" customWidth="1"/>
    <col min="3925" max="3925" width="7.5703125" style="1" customWidth="1"/>
    <col min="3926" max="3926" width="6.5703125" style="1" customWidth="1"/>
    <col min="3927" max="3927" width="18.28515625" style="1" customWidth="1"/>
    <col min="3928" max="4098" width="8.42578125" style="1"/>
    <col min="4099" max="4099" width="10.85546875" style="1" customWidth="1"/>
    <col min="4100" max="4100" width="18.5703125" style="1" customWidth="1"/>
    <col min="4101" max="4101" width="10" style="1" customWidth="1"/>
    <col min="4102" max="4102" width="10.28515625" style="1" customWidth="1"/>
    <col min="4103" max="4107" width="8.28515625" style="1" customWidth="1"/>
    <col min="4108" max="4108" width="10.28515625" style="1" customWidth="1"/>
    <col min="4109" max="4109" width="8.28515625" style="1" customWidth="1"/>
    <col min="4110" max="4110" width="18.28515625" style="1" customWidth="1"/>
    <col min="4111" max="4111" width="6" style="1" customWidth="1"/>
    <col min="4112" max="4113" width="5.42578125" style="1" customWidth="1"/>
    <col min="4114" max="4114" width="5.5703125" style="1" customWidth="1"/>
    <col min="4115" max="4115" width="5.140625" style="1" customWidth="1"/>
    <col min="4116" max="4116" width="5.42578125" style="1" customWidth="1"/>
    <col min="4117" max="4118" width="5.140625" style="1" customWidth="1"/>
    <col min="4119" max="4119" width="5.42578125" style="1" customWidth="1"/>
    <col min="4120" max="4120" width="5.140625" style="1" customWidth="1"/>
    <col min="4121" max="4121" width="5" style="1" customWidth="1"/>
    <col min="4122" max="4122" width="5.42578125" style="1" customWidth="1"/>
    <col min="4123" max="4123" width="9.5703125" style="1" customWidth="1"/>
    <col min="4124" max="4124" width="6.85546875" style="1" customWidth="1"/>
    <col min="4125" max="4125" width="5.140625" style="1" customWidth="1"/>
    <col min="4126" max="4126" width="18.140625" style="1" customWidth="1"/>
    <col min="4127" max="4144" width="5.7109375" style="1" customWidth="1"/>
    <col min="4145" max="4145" width="7.5703125" style="1" customWidth="1"/>
    <col min="4146" max="4146" width="7.28515625" style="1" customWidth="1"/>
    <col min="4147" max="4148" width="5.7109375" style="1" customWidth="1"/>
    <col min="4149" max="4149" width="18.140625" style="1" customWidth="1"/>
    <col min="4150" max="4164" width="5.7109375" style="1" customWidth="1"/>
    <col min="4165" max="4165" width="6.42578125" style="1" customWidth="1"/>
    <col min="4166" max="4166" width="7.42578125" style="1" customWidth="1"/>
    <col min="4167" max="4179" width="5.7109375" style="1" customWidth="1"/>
    <col min="4180" max="4180" width="6.5703125" style="1" customWidth="1"/>
    <col min="4181" max="4181" width="7.5703125" style="1" customWidth="1"/>
    <col min="4182" max="4182" width="6.5703125" style="1" customWidth="1"/>
    <col min="4183" max="4183" width="18.28515625" style="1" customWidth="1"/>
    <col min="4184" max="4354" width="8.42578125" style="1"/>
    <col min="4355" max="4355" width="10.85546875" style="1" customWidth="1"/>
    <col min="4356" max="4356" width="18.5703125" style="1" customWidth="1"/>
    <col min="4357" max="4357" width="10" style="1" customWidth="1"/>
    <col min="4358" max="4358" width="10.28515625" style="1" customWidth="1"/>
    <col min="4359" max="4363" width="8.28515625" style="1" customWidth="1"/>
    <col min="4364" max="4364" width="10.28515625" style="1" customWidth="1"/>
    <col min="4365" max="4365" width="8.28515625" style="1" customWidth="1"/>
    <col min="4366" max="4366" width="18.28515625" style="1" customWidth="1"/>
    <col min="4367" max="4367" width="6" style="1" customWidth="1"/>
    <col min="4368" max="4369" width="5.42578125" style="1" customWidth="1"/>
    <col min="4370" max="4370" width="5.5703125" style="1" customWidth="1"/>
    <col min="4371" max="4371" width="5.140625" style="1" customWidth="1"/>
    <col min="4372" max="4372" width="5.42578125" style="1" customWidth="1"/>
    <col min="4373" max="4374" width="5.140625" style="1" customWidth="1"/>
    <col min="4375" max="4375" width="5.42578125" style="1" customWidth="1"/>
    <col min="4376" max="4376" width="5.140625" style="1" customWidth="1"/>
    <col min="4377" max="4377" width="5" style="1" customWidth="1"/>
    <col min="4378" max="4378" width="5.42578125" style="1" customWidth="1"/>
    <col min="4379" max="4379" width="9.5703125" style="1" customWidth="1"/>
    <col min="4380" max="4380" width="6.85546875" style="1" customWidth="1"/>
    <col min="4381" max="4381" width="5.140625" style="1" customWidth="1"/>
    <col min="4382" max="4382" width="18.140625" style="1" customWidth="1"/>
    <col min="4383" max="4400" width="5.7109375" style="1" customWidth="1"/>
    <col min="4401" max="4401" width="7.5703125" style="1" customWidth="1"/>
    <col min="4402" max="4402" width="7.28515625" style="1" customWidth="1"/>
    <col min="4403" max="4404" width="5.7109375" style="1" customWidth="1"/>
    <col min="4405" max="4405" width="18.140625" style="1" customWidth="1"/>
    <col min="4406" max="4420" width="5.7109375" style="1" customWidth="1"/>
    <col min="4421" max="4421" width="6.42578125" style="1" customWidth="1"/>
    <col min="4422" max="4422" width="7.42578125" style="1" customWidth="1"/>
    <col min="4423" max="4435" width="5.7109375" style="1" customWidth="1"/>
    <col min="4436" max="4436" width="6.5703125" style="1" customWidth="1"/>
    <col min="4437" max="4437" width="7.5703125" style="1" customWidth="1"/>
    <col min="4438" max="4438" width="6.5703125" style="1" customWidth="1"/>
    <col min="4439" max="4439" width="18.28515625" style="1" customWidth="1"/>
    <col min="4440" max="4610" width="8.42578125" style="1"/>
    <col min="4611" max="4611" width="10.85546875" style="1" customWidth="1"/>
    <col min="4612" max="4612" width="18.5703125" style="1" customWidth="1"/>
    <col min="4613" max="4613" width="10" style="1" customWidth="1"/>
    <col min="4614" max="4614" width="10.28515625" style="1" customWidth="1"/>
    <col min="4615" max="4619" width="8.28515625" style="1" customWidth="1"/>
    <col min="4620" max="4620" width="10.28515625" style="1" customWidth="1"/>
    <col min="4621" max="4621" width="8.28515625" style="1" customWidth="1"/>
    <col min="4622" max="4622" width="18.28515625" style="1" customWidth="1"/>
    <col min="4623" max="4623" width="6" style="1" customWidth="1"/>
    <col min="4624" max="4625" width="5.42578125" style="1" customWidth="1"/>
    <col min="4626" max="4626" width="5.5703125" style="1" customWidth="1"/>
    <col min="4627" max="4627" width="5.140625" style="1" customWidth="1"/>
    <col min="4628" max="4628" width="5.42578125" style="1" customWidth="1"/>
    <col min="4629" max="4630" width="5.140625" style="1" customWidth="1"/>
    <col min="4631" max="4631" width="5.42578125" style="1" customWidth="1"/>
    <col min="4632" max="4632" width="5.140625" style="1" customWidth="1"/>
    <col min="4633" max="4633" width="5" style="1" customWidth="1"/>
    <col min="4634" max="4634" width="5.42578125" style="1" customWidth="1"/>
    <col min="4635" max="4635" width="9.5703125" style="1" customWidth="1"/>
    <col min="4636" max="4636" width="6.85546875" style="1" customWidth="1"/>
    <col min="4637" max="4637" width="5.140625" style="1" customWidth="1"/>
    <col min="4638" max="4638" width="18.140625" style="1" customWidth="1"/>
    <col min="4639" max="4656" width="5.7109375" style="1" customWidth="1"/>
    <col min="4657" max="4657" width="7.5703125" style="1" customWidth="1"/>
    <col min="4658" max="4658" width="7.28515625" style="1" customWidth="1"/>
    <col min="4659" max="4660" width="5.7109375" style="1" customWidth="1"/>
    <col min="4661" max="4661" width="18.140625" style="1" customWidth="1"/>
    <col min="4662" max="4676" width="5.7109375" style="1" customWidth="1"/>
    <col min="4677" max="4677" width="6.42578125" style="1" customWidth="1"/>
    <col min="4678" max="4678" width="7.42578125" style="1" customWidth="1"/>
    <col min="4679" max="4691" width="5.7109375" style="1" customWidth="1"/>
    <col min="4692" max="4692" width="6.5703125" style="1" customWidth="1"/>
    <col min="4693" max="4693" width="7.5703125" style="1" customWidth="1"/>
    <col min="4694" max="4694" width="6.5703125" style="1" customWidth="1"/>
    <col min="4695" max="4695" width="18.28515625" style="1" customWidth="1"/>
    <col min="4696" max="4866" width="8.42578125" style="1"/>
    <col min="4867" max="4867" width="10.85546875" style="1" customWidth="1"/>
    <col min="4868" max="4868" width="18.5703125" style="1" customWidth="1"/>
    <col min="4869" max="4869" width="10" style="1" customWidth="1"/>
    <col min="4870" max="4870" width="10.28515625" style="1" customWidth="1"/>
    <col min="4871" max="4875" width="8.28515625" style="1" customWidth="1"/>
    <col min="4876" max="4876" width="10.28515625" style="1" customWidth="1"/>
    <col min="4877" max="4877" width="8.28515625" style="1" customWidth="1"/>
    <col min="4878" max="4878" width="18.28515625" style="1" customWidth="1"/>
    <col min="4879" max="4879" width="6" style="1" customWidth="1"/>
    <col min="4880" max="4881" width="5.42578125" style="1" customWidth="1"/>
    <col min="4882" max="4882" width="5.5703125" style="1" customWidth="1"/>
    <col min="4883" max="4883" width="5.140625" style="1" customWidth="1"/>
    <col min="4884" max="4884" width="5.42578125" style="1" customWidth="1"/>
    <col min="4885" max="4886" width="5.140625" style="1" customWidth="1"/>
    <col min="4887" max="4887" width="5.42578125" style="1" customWidth="1"/>
    <col min="4888" max="4888" width="5.140625" style="1" customWidth="1"/>
    <col min="4889" max="4889" width="5" style="1" customWidth="1"/>
    <col min="4890" max="4890" width="5.42578125" style="1" customWidth="1"/>
    <col min="4891" max="4891" width="9.5703125" style="1" customWidth="1"/>
    <col min="4892" max="4892" width="6.85546875" style="1" customWidth="1"/>
    <col min="4893" max="4893" width="5.140625" style="1" customWidth="1"/>
    <col min="4894" max="4894" width="18.140625" style="1" customWidth="1"/>
    <col min="4895" max="4912" width="5.7109375" style="1" customWidth="1"/>
    <col min="4913" max="4913" width="7.5703125" style="1" customWidth="1"/>
    <col min="4914" max="4914" width="7.28515625" style="1" customWidth="1"/>
    <col min="4915" max="4916" width="5.7109375" style="1" customWidth="1"/>
    <col min="4917" max="4917" width="18.140625" style="1" customWidth="1"/>
    <col min="4918" max="4932" width="5.7109375" style="1" customWidth="1"/>
    <col min="4933" max="4933" width="6.42578125" style="1" customWidth="1"/>
    <col min="4934" max="4934" width="7.42578125" style="1" customWidth="1"/>
    <col min="4935" max="4947" width="5.7109375" style="1" customWidth="1"/>
    <col min="4948" max="4948" width="6.5703125" style="1" customWidth="1"/>
    <col min="4949" max="4949" width="7.5703125" style="1" customWidth="1"/>
    <col min="4950" max="4950" width="6.5703125" style="1" customWidth="1"/>
    <col min="4951" max="4951" width="18.28515625" style="1" customWidth="1"/>
    <col min="4952" max="5122" width="8.42578125" style="1"/>
    <col min="5123" max="5123" width="10.85546875" style="1" customWidth="1"/>
    <col min="5124" max="5124" width="18.5703125" style="1" customWidth="1"/>
    <col min="5125" max="5125" width="10" style="1" customWidth="1"/>
    <col min="5126" max="5126" width="10.28515625" style="1" customWidth="1"/>
    <col min="5127" max="5131" width="8.28515625" style="1" customWidth="1"/>
    <col min="5132" max="5132" width="10.28515625" style="1" customWidth="1"/>
    <col min="5133" max="5133" width="8.28515625" style="1" customWidth="1"/>
    <col min="5134" max="5134" width="18.28515625" style="1" customWidth="1"/>
    <col min="5135" max="5135" width="6" style="1" customWidth="1"/>
    <col min="5136" max="5137" width="5.42578125" style="1" customWidth="1"/>
    <col min="5138" max="5138" width="5.5703125" style="1" customWidth="1"/>
    <col min="5139" max="5139" width="5.140625" style="1" customWidth="1"/>
    <col min="5140" max="5140" width="5.42578125" style="1" customWidth="1"/>
    <col min="5141" max="5142" width="5.140625" style="1" customWidth="1"/>
    <col min="5143" max="5143" width="5.42578125" style="1" customWidth="1"/>
    <col min="5144" max="5144" width="5.140625" style="1" customWidth="1"/>
    <col min="5145" max="5145" width="5" style="1" customWidth="1"/>
    <col min="5146" max="5146" width="5.42578125" style="1" customWidth="1"/>
    <col min="5147" max="5147" width="9.5703125" style="1" customWidth="1"/>
    <col min="5148" max="5148" width="6.85546875" style="1" customWidth="1"/>
    <col min="5149" max="5149" width="5.140625" style="1" customWidth="1"/>
    <col min="5150" max="5150" width="18.140625" style="1" customWidth="1"/>
    <col min="5151" max="5168" width="5.7109375" style="1" customWidth="1"/>
    <col min="5169" max="5169" width="7.5703125" style="1" customWidth="1"/>
    <col min="5170" max="5170" width="7.28515625" style="1" customWidth="1"/>
    <col min="5171" max="5172" width="5.7109375" style="1" customWidth="1"/>
    <col min="5173" max="5173" width="18.140625" style="1" customWidth="1"/>
    <col min="5174" max="5188" width="5.7109375" style="1" customWidth="1"/>
    <col min="5189" max="5189" width="6.42578125" style="1" customWidth="1"/>
    <col min="5190" max="5190" width="7.42578125" style="1" customWidth="1"/>
    <col min="5191" max="5203" width="5.7109375" style="1" customWidth="1"/>
    <col min="5204" max="5204" width="6.5703125" style="1" customWidth="1"/>
    <col min="5205" max="5205" width="7.5703125" style="1" customWidth="1"/>
    <col min="5206" max="5206" width="6.5703125" style="1" customWidth="1"/>
    <col min="5207" max="5207" width="18.28515625" style="1" customWidth="1"/>
    <col min="5208" max="5378" width="8.42578125" style="1"/>
    <col min="5379" max="5379" width="10.85546875" style="1" customWidth="1"/>
    <col min="5380" max="5380" width="18.5703125" style="1" customWidth="1"/>
    <col min="5381" max="5381" width="10" style="1" customWidth="1"/>
    <col min="5382" max="5382" width="10.28515625" style="1" customWidth="1"/>
    <col min="5383" max="5387" width="8.28515625" style="1" customWidth="1"/>
    <col min="5388" max="5388" width="10.28515625" style="1" customWidth="1"/>
    <col min="5389" max="5389" width="8.28515625" style="1" customWidth="1"/>
    <col min="5390" max="5390" width="18.28515625" style="1" customWidth="1"/>
    <col min="5391" max="5391" width="6" style="1" customWidth="1"/>
    <col min="5392" max="5393" width="5.42578125" style="1" customWidth="1"/>
    <col min="5394" max="5394" width="5.5703125" style="1" customWidth="1"/>
    <col min="5395" max="5395" width="5.140625" style="1" customWidth="1"/>
    <col min="5396" max="5396" width="5.42578125" style="1" customWidth="1"/>
    <col min="5397" max="5398" width="5.140625" style="1" customWidth="1"/>
    <col min="5399" max="5399" width="5.42578125" style="1" customWidth="1"/>
    <col min="5400" max="5400" width="5.140625" style="1" customWidth="1"/>
    <col min="5401" max="5401" width="5" style="1" customWidth="1"/>
    <col min="5402" max="5402" width="5.42578125" style="1" customWidth="1"/>
    <col min="5403" max="5403" width="9.5703125" style="1" customWidth="1"/>
    <col min="5404" max="5404" width="6.85546875" style="1" customWidth="1"/>
    <col min="5405" max="5405" width="5.140625" style="1" customWidth="1"/>
    <col min="5406" max="5406" width="18.140625" style="1" customWidth="1"/>
    <col min="5407" max="5424" width="5.7109375" style="1" customWidth="1"/>
    <col min="5425" max="5425" width="7.5703125" style="1" customWidth="1"/>
    <col min="5426" max="5426" width="7.28515625" style="1" customWidth="1"/>
    <col min="5427" max="5428" width="5.7109375" style="1" customWidth="1"/>
    <col min="5429" max="5429" width="18.140625" style="1" customWidth="1"/>
    <col min="5430" max="5444" width="5.7109375" style="1" customWidth="1"/>
    <col min="5445" max="5445" width="6.42578125" style="1" customWidth="1"/>
    <col min="5446" max="5446" width="7.42578125" style="1" customWidth="1"/>
    <col min="5447" max="5459" width="5.7109375" style="1" customWidth="1"/>
    <col min="5460" max="5460" width="6.5703125" style="1" customWidth="1"/>
    <col min="5461" max="5461" width="7.5703125" style="1" customWidth="1"/>
    <col min="5462" max="5462" width="6.5703125" style="1" customWidth="1"/>
    <col min="5463" max="5463" width="18.28515625" style="1" customWidth="1"/>
    <col min="5464" max="5634" width="8.42578125" style="1"/>
    <col min="5635" max="5635" width="10.85546875" style="1" customWidth="1"/>
    <col min="5636" max="5636" width="18.5703125" style="1" customWidth="1"/>
    <col min="5637" max="5637" width="10" style="1" customWidth="1"/>
    <col min="5638" max="5638" width="10.28515625" style="1" customWidth="1"/>
    <col min="5639" max="5643" width="8.28515625" style="1" customWidth="1"/>
    <col min="5644" max="5644" width="10.28515625" style="1" customWidth="1"/>
    <col min="5645" max="5645" width="8.28515625" style="1" customWidth="1"/>
    <col min="5646" max="5646" width="18.28515625" style="1" customWidth="1"/>
    <col min="5647" max="5647" width="6" style="1" customWidth="1"/>
    <col min="5648" max="5649" width="5.42578125" style="1" customWidth="1"/>
    <col min="5650" max="5650" width="5.5703125" style="1" customWidth="1"/>
    <col min="5651" max="5651" width="5.140625" style="1" customWidth="1"/>
    <col min="5652" max="5652" width="5.42578125" style="1" customWidth="1"/>
    <col min="5653" max="5654" width="5.140625" style="1" customWidth="1"/>
    <col min="5655" max="5655" width="5.42578125" style="1" customWidth="1"/>
    <col min="5656" max="5656" width="5.140625" style="1" customWidth="1"/>
    <col min="5657" max="5657" width="5" style="1" customWidth="1"/>
    <col min="5658" max="5658" width="5.42578125" style="1" customWidth="1"/>
    <col min="5659" max="5659" width="9.5703125" style="1" customWidth="1"/>
    <col min="5660" max="5660" width="6.85546875" style="1" customWidth="1"/>
    <col min="5661" max="5661" width="5.140625" style="1" customWidth="1"/>
    <col min="5662" max="5662" width="18.140625" style="1" customWidth="1"/>
    <col min="5663" max="5680" width="5.7109375" style="1" customWidth="1"/>
    <col min="5681" max="5681" width="7.5703125" style="1" customWidth="1"/>
    <col min="5682" max="5682" width="7.28515625" style="1" customWidth="1"/>
    <col min="5683" max="5684" width="5.7109375" style="1" customWidth="1"/>
    <col min="5685" max="5685" width="18.140625" style="1" customWidth="1"/>
    <col min="5686" max="5700" width="5.7109375" style="1" customWidth="1"/>
    <col min="5701" max="5701" width="6.42578125" style="1" customWidth="1"/>
    <col min="5702" max="5702" width="7.42578125" style="1" customWidth="1"/>
    <col min="5703" max="5715" width="5.7109375" style="1" customWidth="1"/>
    <col min="5716" max="5716" width="6.5703125" style="1" customWidth="1"/>
    <col min="5717" max="5717" width="7.5703125" style="1" customWidth="1"/>
    <col min="5718" max="5718" width="6.5703125" style="1" customWidth="1"/>
    <col min="5719" max="5719" width="18.28515625" style="1" customWidth="1"/>
    <col min="5720" max="5890" width="8.42578125" style="1"/>
    <col min="5891" max="5891" width="10.85546875" style="1" customWidth="1"/>
    <col min="5892" max="5892" width="18.5703125" style="1" customWidth="1"/>
    <col min="5893" max="5893" width="10" style="1" customWidth="1"/>
    <col min="5894" max="5894" width="10.28515625" style="1" customWidth="1"/>
    <col min="5895" max="5899" width="8.28515625" style="1" customWidth="1"/>
    <col min="5900" max="5900" width="10.28515625" style="1" customWidth="1"/>
    <col min="5901" max="5901" width="8.28515625" style="1" customWidth="1"/>
    <col min="5902" max="5902" width="18.28515625" style="1" customWidth="1"/>
    <col min="5903" max="5903" width="6" style="1" customWidth="1"/>
    <col min="5904" max="5905" width="5.42578125" style="1" customWidth="1"/>
    <col min="5906" max="5906" width="5.5703125" style="1" customWidth="1"/>
    <col min="5907" max="5907" width="5.140625" style="1" customWidth="1"/>
    <col min="5908" max="5908" width="5.42578125" style="1" customWidth="1"/>
    <col min="5909" max="5910" width="5.140625" style="1" customWidth="1"/>
    <col min="5911" max="5911" width="5.42578125" style="1" customWidth="1"/>
    <col min="5912" max="5912" width="5.140625" style="1" customWidth="1"/>
    <col min="5913" max="5913" width="5" style="1" customWidth="1"/>
    <col min="5914" max="5914" width="5.42578125" style="1" customWidth="1"/>
    <col min="5915" max="5915" width="9.5703125" style="1" customWidth="1"/>
    <col min="5916" max="5916" width="6.85546875" style="1" customWidth="1"/>
    <col min="5917" max="5917" width="5.140625" style="1" customWidth="1"/>
    <col min="5918" max="5918" width="18.140625" style="1" customWidth="1"/>
    <col min="5919" max="5936" width="5.7109375" style="1" customWidth="1"/>
    <col min="5937" max="5937" width="7.5703125" style="1" customWidth="1"/>
    <col min="5938" max="5938" width="7.28515625" style="1" customWidth="1"/>
    <col min="5939" max="5940" width="5.7109375" style="1" customWidth="1"/>
    <col min="5941" max="5941" width="18.140625" style="1" customWidth="1"/>
    <col min="5942" max="5956" width="5.7109375" style="1" customWidth="1"/>
    <col min="5957" max="5957" width="6.42578125" style="1" customWidth="1"/>
    <col min="5958" max="5958" width="7.42578125" style="1" customWidth="1"/>
    <col min="5959" max="5971" width="5.7109375" style="1" customWidth="1"/>
    <col min="5972" max="5972" width="6.5703125" style="1" customWidth="1"/>
    <col min="5973" max="5973" width="7.5703125" style="1" customWidth="1"/>
    <col min="5974" max="5974" width="6.5703125" style="1" customWidth="1"/>
    <col min="5975" max="5975" width="18.28515625" style="1" customWidth="1"/>
    <col min="5976" max="6146" width="8.42578125" style="1"/>
    <col min="6147" max="6147" width="10.85546875" style="1" customWidth="1"/>
    <col min="6148" max="6148" width="18.5703125" style="1" customWidth="1"/>
    <col min="6149" max="6149" width="10" style="1" customWidth="1"/>
    <col min="6150" max="6150" width="10.28515625" style="1" customWidth="1"/>
    <col min="6151" max="6155" width="8.28515625" style="1" customWidth="1"/>
    <col min="6156" max="6156" width="10.28515625" style="1" customWidth="1"/>
    <col min="6157" max="6157" width="8.28515625" style="1" customWidth="1"/>
    <col min="6158" max="6158" width="18.28515625" style="1" customWidth="1"/>
    <col min="6159" max="6159" width="6" style="1" customWidth="1"/>
    <col min="6160" max="6161" width="5.42578125" style="1" customWidth="1"/>
    <col min="6162" max="6162" width="5.5703125" style="1" customWidth="1"/>
    <col min="6163" max="6163" width="5.140625" style="1" customWidth="1"/>
    <col min="6164" max="6164" width="5.42578125" style="1" customWidth="1"/>
    <col min="6165" max="6166" width="5.140625" style="1" customWidth="1"/>
    <col min="6167" max="6167" width="5.42578125" style="1" customWidth="1"/>
    <col min="6168" max="6168" width="5.140625" style="1" customWidth="1"/>
    <col min="6169" max="6169" width="5" style="1" customWidth="1"/>
    <col min="6170" max="6170" width="5.42578125" style="1" customWidth="1"/>
    <col min="6171" max="6171" width="9.5703125" style="1" customWidth="1"/>
    <col min="6172" max="6172" width="6.85546875" style="1" customWidth="1"/>
    <col min="6173" max="6173" width="5.140625" style="1" customWidth="1"/>
    <col min="6174" max="6174" width="18.140625" style="1" customWidth="1"/>
    <col min="6175" max="6192" width="5.7109375" style="1" customWidth="1"/>
    <col min="6193" max="6193" width="7.5703125" style="1" customWidth="1"/>
    <col min="6194" max="6194" width="7.28515625" style="1" customWidth="1"/>
    <col min="6195" max="6196" width="5.7109375" style="1" customWidth="1"/>
    <col min="6197" max="6197" width="18.140625" style="1" customWidth="1"/>
    <col min="6198" max="6212" width="5.7109375" style="1" customWidth="1"/>
    <col min="6213" max="6213" width="6.42578125" style="1" customWidth="1"/>
    <col min="6214" max="6214" width="7.42578125" style="1" customWidth="1"/>
    <col min="6215" max="6227" width="5.7109375" style="1" customWidth="1"/>
    <col min="6228" max="6228" width="6.5703125" style="1" customWidth="1"/>
    <col min="6229" max="6229" width="7.5703125" style="1" customWidth="1"/>
    <col min="6230" max="6230" width="6.5703125" style="1" customWidth="1"/>
    <col min="6231" max="6231" width="18.28515625" style="1" customWidth="1"/>
    <col min="6232" max="6402" width="8.42578125" style="1"/>
    <col min="6403" max="6403" width="10.85546875" style="1" customWidth="1"/>
    <col min="6404" max="6404" width="18.5703125" style="1" customWidth="1"/>
    <col min="6405" max="6405" width="10" style="1" customWidth="1"/>
    <col min="6406" max="6406" width="10.28515625" style="1" customWidth="1"/>
    <col min="6407" max="6411" width="8.28515625" style="1" customWidth="1"/>
    <col min="6412" max="6412" width="10.28515625" style="1" customWidth="1"/>
    <col min="6413" max="6413" width="8.28515625" style="1" customWidth="1"/>
    <col min="6414" max="6414" width="18.28515625" style="1" customWidth="1"/>
    <col min="6415" max="6415" width="6" style="1" customWidth="1"/>
    <col min="6416" max="6417" width="5.42578125" style="1" customWidth="1"/>
    <col min="6418" max="6418" width="5.5703125" style="1" customWidth="1"/>
    <col min="6419" max="6419" width="5.140625" style="1" customWidth="1"/>
    <col min="6420" max="6420" width="5.42578125" style="1" customWidth="1"/>
    <col min="6421" max="6422" width="5.140625" style="1" customWidth="1"/>
    <col min="6423" max="6423" width="5.42578125" style="1" customWidth="1"/>
    <col min="6424" max="6424" width="5.140625" style="1" customWidth="1"/>
    <col min="6425" max="6425" width="5" style="1" customWidth="1"/>
    <col min="6426" max="6426" width="5.42578125" style="1" customWidth="1"/>
    <col min="6427" max="6427" width="9.5703125" style="1" customWidth="1"/>
    <col min="6428" max="6428" width="6.85546875" style="1" customWidth="1"/>
    <col min="6429" max="6429" width="5.140625" style="1" customWidth="1"/>
    <col min="6430" max="6430" width="18.140625" style="1" customWidth="1"/>
    <col min="6431" max="6448" width="5.7109375" style="1" customWidth="1"/>
    <col min="6449" max="6449" width="7.5703125" style="1" customWidth="1"/>
    <col min="6450" max="6450" width="7.28515625" style="1" customWidth="1"/>
    <col min="6451" max="6452" width="5.7109375" style="1" customWidth="1"/>
    <col min="6453" max="6453" width="18.140625" style="1" customWidth="1"/>
    <col min="6454" max="6468" width="5.7109375" style="1" customWidth="1"/>
    <col min="6469" max="6469" width="6.42578125" style="1" customWidth="1"/>
    <col min="6470" max="6470" width="7.42578125" style="1" customWidth="1"/>
    <col min="6471" max="6483" width="5.7109375" style="1" customWidth="1"/>
    <col min="6484" max="6484" width="6.5703125" style="1" customWidth="1"/>
    <col min="6485" max="6485" width="7.5703125" style="1" customWidth="1"/>
    <col min="6486" max="6486" width="6.5703125" style="1" customWidth="1"/>
    <col min="6487" max="6487" width="18.28515625" style="1" customWidth="1"/>
    <col min="6488" max="6658" width="8.42578125" style="1"/>
    <col min="6659" max="6659" width="10.85546875" style="1" customWidth="1"/>
    <col min="6660" max="6660" width="18.5703125" style="1" customWidth="1"/>
    <col min="6661" max="6661" width="10" style="1" customWidth="1"/>
    <col min="6662" max="6662" width="10.28515625" style="1" customWidth="1"/>
    <col min="6663" max="6667" width="8.28515625" style="1" customWidth="1"/>
    <col min="6668" max="6668" width="10.28515625" style="1" customWidth="1"/>
    <col min="6669" max="6669" width="8.28515625" style="1" customWidth="1"/>
    <col min="6670" max="6670" width="18.28515625" style="1" customWidth="1"/>
    <col min="6671" max="6671" width="6" style="1" customWidth="1"/>
    <col min="6672" max="6673" width="5.42578125" style="1" customWidth="1"/>
    <col min="6674" max="6674" width="5.5703125" style="1" customWidth="1"/>
    <col min="6675" max="6675" width="5.140625" style="1" customWidth="1"/>
    <col min="6676" max="6676" width="5.42578125" style="1" customWidth="1"/>
    <col min="6677" max="6678" width="5.140625" style="1" customWidth="1"/>
    <col min="6679" max="6679" width="5.42578125" style="1" customWidth="1"/>
    <col min="6680" max="6680" width="5.140625" style="1" customWidth="1"/>
    <col min="6681" max="6681" width="5" style="1" customWidth="1"/>
    <col min="6682" max="6682" width="5.42578125" style="1" customWidth="1"/>
    <col min="6683" max="6683" width="9.5703125" style="1" customWidth="1"/>
    <col min="6684" max="6684" width="6.85546875" style="1" customWidth="1"/>
    <col min="6685" max="6685" width="5.140625" style="1" customWidth="1"/>
    <col min="6686" max="6686" width="18.140625" style="1" customWidth="1"/>
    <col min="6687" max="6704" width="5.7109375" style="1" customWidth="1"/>
    <col min="6705" max="6705" width="7.5703125" style="1" customWidth="1"/>
    <col min="6706" max="6706" width="7.28515625" style="1" customWidth="1"/>
    <col min="6707" max="6708" width="5.7109375" style="1" customWidth="1"/>
    <col min="6709" max="6709" width="18.140625" style="1" customWidth="1"/>
    <col min="6710" max="6724" width="5.7109375" style="1" customWidth="1"/>
    <col min="6725" max="6725" width="6.42578125" style="1" customWidth="1"/>
    <col min="6726" max="6726" width="7.42578125" style="1" customWidth="1"/>
    <col min="6727" max="6739" width="5.7109375" style="1" customWidth="1"/>
    <col min="6740" max="6740" width="6.5703125" style="1" customWidth="1"/>
    <col min="6741" max="6741" width="7.5703125" style="1" customWidth="1"/>
    <col min="6742" max="6742" width="6.5703125" style="1" customWidth="1"/>
    <col min="6743" max="6743" width="18.28515625" style="1" customWidth="1"/>
    <col min="6744" max="6914" width="8.42578125" style="1"/>
    <col min="6915" max="6915" width="10.85546875" style="1" customWidth="1"/>
    <col min="6916" max="6916" width="18.5703125" style="1" customWidth="1"/>
    <col min="6917" max="6917" width="10" style="1" customWidth="1"/>
    <col min="6918" max="6918" width="10.28515625" style="1" customWidth="1"/>
    <col min="6919" max="6923" width="8.28515625" style="1" customWidth="1"/>
    <col min="6924" max="6924" width="10.28515625" style="1" customWidth="1"/>
    <col min="6925" max="6925" width="8.28515625" style="1" customWidth="1"/>
    <col min="6926" max="6926" width="18.28515625" style="1" customWidth="1"/>
    <col min="6927" max="6927" width="6" style="1" customWidth="1"/>
    <col min="6928" max="6929" width="5.42578125" style="1" customWidth="1"/>
    <col min="6930" max="6930" width="5.5703125" style="1" customWidth="1"/>
    <col min="6931" max="6931" width="5.140625" style="1" customWidth="1"/>
    <col min="6932" max="6932" width="5.42578125" style="1" customWidth="1"/>
    <col min="6933" max="6934" width="5.140625" style="1" customWidth="1"/>
    <col min="6935" max="6935" width="5.42578125" style="1" customWidth="1"/>
    <col min="6936" max="6936" width="5.140625" style="1" customWidth="1"/>
    <col min="6937" max="6937" width="5" style="1" customWidth="1"/>
    <col min="6938" max="6938" width="5.42578125" style="1" customWidth="1"/>
    <col min="6939" max="6939" width="9.5703125" style="1" customWidth="1"/>
    <col min="6940" max="6940" width="6.85546875" style="1" customWidth="1"/>
    <col min="6941" max="6941" width="5.140625" style="1" customWidth="1"/>
    <col min="6942" max="6942" width="18.140625" style="1" customWidth="1"/>
    <col min="6943" max="6960" width="5.7109375" style="1" customWidth="1"/>
    <col min="6961" max="6961" width="7.5703125" style="1" customWidth="1"/>
    <col min="6962" max="6962" width="7.28515625" style="1" customWidth="1"/>
    <col min="6963" max="6964" width="5.7109375" style="1" customWidth="1"/>
    <col min="6965" max="6965" width="18.140625" style="1" customWidth="1"/>
    <col min="6966" max="6980" width="5.7109375" style="1" customWidth="1"/>
    <col min="6981" max="6981" width="6.42578125" style="1" customWidth="1"/>
    <col min="6982" max="6982" width="7.42578125" style="1" customWidth="1"/>
    <col min="6983" max="6995" width="5.7109375" style="1" customWidth="1"/>
    <col min="6996" max="6996" width="6.5703125" style="1" customWidth="1"/>
    <col min="6997" max="6997" width="7.5703125" style="1" customWidth="1"/>
    <col min="6998" max="6998" width="6.5703125" style="1" customWidth="1"/>
    <col min="6999" max="6999" width="18.28515625" style="1" customWidth="1"/>
    <col min="7000" max="7170" width="8.42578125" style="1"/>
    <col min="7171" max="7171" width="10.85546875" style="1" customWidth="1"/>
    <col min="7172" max="7172" width="18.5703125" style="1" customWidth="1"/>
    <col min="7173" max="7173" width="10" style="1" customWidth="1"/>
    <col min="7174" max="7174" width="10.28515625" style="1" customWidth="1"/>
    <col min="7175" max="7179" width="8.28515625" style="1" customWidth="1"/>
    <col min="7180" max="7180" width="10.28515625" style="1" customWidth="1"/>
    <col min="7181" max="7181" width="8.28515625" style="1" customWidth="1"/>
    <col min="7182" max="7182" width="18.28515625" style="1" customWidth="1"/>
    <col min="7183" max="7183" width="6" style="1" customWidth="1"/>
    <col min="7184" max="7185" width="5.42578125" style="1" customWidth="1"/>
    <col min="7186" max="7186" width="5.5703125" style="1" customWidth="1"/>
    <col min="7187" max="7187" width="5.140625" style="1" customWidth="1"/>
    <col min="7188" max="7188" width="5.42578125" style="1" customWidth="1"/>
    <col min="7189" max="7190" width="5.140625" style="1" customWidth="1"/>
    <col min="7191" max="7191" width="5.42578125" style="1" customWidth="1"/>
    <col min="7192" max="7192" width="5.140625" style="1" customWidth="1"/>
    <col min="7193" max="7193" width="5" style="1" customWidth="1"/>
    <col min="7194" max="7194" width="5.42578125" style="1" customWidth="1"/>
    <col min="7195" max="7195" width="9.5703125" style="1" customWidth="1"/>
    <col min="7196" max="7196" width="6.85546875" style="1" customWidth="1"/>
    <col min="7197" max="7197" width="5.140625" style="1" customWidth="1"/>
    <col min="7198" max="7198" width="18.140625" style="1" customWidth="1"/>
    <col min="7199" max="7216" width="5.7109375" style="1" customWidth="1"/>
    <col min="7217" max="7217" width="7.5703125" style="1" customWidth="1"/>
    <col min="7218" max="7218" width="7.28515625" style="1" customWidth="1"/>
    <col min="7219" max="7220" width="5.7109375" style="1" customWidth="1"/>
    <col min="7221" max="7221" width="18.140625" style="1" customWidth="1"/>
    <col min="7222" max="7236" width="5.7109375" style="1" customWidth="1"/>
    <col min="7237" max="7237" width="6.42578125" style="1" customWidth="1"/>
    <col min="7238" max="7238" width="7.42578125" style="1" customWidth="1"/>
    <col min="7239" max="7251" width="5.7109375" style="1" customWidth="1"/>
    <col min="7252" max="7252" width="6.5703125" style="1" customWidth="1"/>
    <col min="7253" max="7253" width="7.5703125" style="1" customWidth="1"/>
    <col min="7254" max="7254" width="6.5703125" style="1" customWidth="1"/>
    <col min="7255" max="7255" width="18.28515625" style="1" customWidth="1"/>
    <col min="7256" max="7426" width="8.42578125" style="1"/>
    <col min="7427" max="7427" width="10.85546875" style="1" customWidth="1"/>
    <col min="7428" max="7428" width="18.5703125" style="1" customWidth="1"/>
    <col min="7429" max="7429" width="10" style="1" customWidth="1"/>
    <col min="7430" max="7430" width="10.28515625" style="1" customWidth="1"/>
    <col min="7431" max="7435" width="8.28515625" style="1" customWidth="1"/>
    <col min="7436" max="7436" width="10.28515625" style="1" customWidth="1"/>
    <col min="7437" max="7437" width="8.28515625" style="1" customWidth="1"/>
    <col min="7438" max="7438" width="18.28515625" style="1" customWidth="1"/>
    <col min="7439" max="7439" width="6" style="1" customWidth="1"/>
    <col min="7440" max="7441" width="5.42578125" style="1" customWidth="1"/>
    <col min="7442" max="7442" width="5.5703125" style="1" customWidth="1"/>
    <col min="7443" max="7443" width="5.140625" style="1" customWidth="1"/>
    <col min="7444" max="7444" width="5.42578125" style="1" customWidth="1"/>
    <col min="7445" max="7446" width="5.140625" style="1" customWidth="1"/>
    <col min="7447" max="7447" width="5.42578125" style="1" customWidth="1"/>
    <col min="7448" max="7448" width="5.140625" style="1" customWidth="1"/>
    <col min="7449" max="7449" width="5" style="1" customWidth="1"/>
    <col min="7450" max="7450" width="5.42578125" style="1" customWidth="1"/>
    <col min="7451" max="7451" width="9.5703125" style="1" customWidth="1"/>
    <col min="7452" max="7452" width="6.85546875" style="1" customWidth="1"/>
    <col min="7453" max="7453" width="5.140625" style="1" customWidth="1"/>
    <col min="7454" max="7454" width="18.140625" style="1" customWidth="1"/>
    <col min="7455" max="7472" width="5.7109375" style="1" customWidth="1"/>
    <col min="7473" max="7473" width="7.5703125" style="1" customWidth="1"/>
    <col min="7474" max="7474" width="7.28515625" style="1" customWidth="1"/>
    <col min="7475" max="7476" width="5.7109375" style="1" customWidth="1"/>
    <col min="7477" max="7477" width="18.140625" style="1" customWidth="1"/>
    <col min="7478" max="7492" width="5.7109375" style="1" customWidth="1"/>
    <col min="7493" max="7493" width="6.42578125" style="1" customWidth="1"/>
    <col min="7494" max="7494" width="7.42578125" style="1" customWidth="1"/>
    <col min="7495" max="7507" width="5.7109375" style="1" customWidth="1"/>
    <col min="7508" max="7508" width="6.5703125" style="1" customWidth="1"/>
    <col min="7509" max="7509" width="7.5703125" style="1" customWidth="1"/>
    <col min="7510" max="7510" width="6.5703125" style="1" customWidth="1"/>
    <col min="7511" max="7511" width="18.28515625" style="1" customWidth="1"/>
    <col min="7512" max="7682" width="8.42578125" style="1"/>
    <col min="7683" max="7683" width="10.85546875" style="1" customWidth="1"/>
    <col min="7684" max="7684" width="18.5703125" style="1" customWidth="1"/>
    <col min="7685" max="7685" width="10" style="1" customWidth="1"/>
    <col min="7686" max="7686" width="10.28515625" style="1" customWidth="1"/>
    <col min="7687" max="7691" width="8.28515625" style="1" customWidth="1"/>
    <col min="7692" max="7692" width="10.28515625" style="1" customWidth="1"/>
    <col min="7693" max="7693" width="8.28515625" style="1" customWidth="1"/>
    <col min="7694" max="7694" width="18.28515625" style="1" customWidth="1"/>
    <col min="7695" max="7695" width="6" style="1" customWidth="1"/>
    <col min="7696" max="7697" width="5.42578125" style="1" customWidth="1"/>
    <col min="7698" max="7698" width="5.5703125" style="1" customWidth="1"/>
    <col min="7699" max="7699" width="5.140625" style="1" customWidth="1"/>
    <col min="7700" max="7700" width="5.42578125" style="1" customWidth="1"/>
    <col min="7701" max="7702" width="5.140625" style="1" customWidth="1"/>
    <col min="7703" max="7703" width="5.42578125" style="1" customWidth="1"/>
    <col min="7704" max="7704" width="5.140625" style="1" customWidth="1"/>
    <col min="7705" max="7705" width="5" style="1" customWidth="1"/>
    <col min="7706" max="7706" width="5.42578125" style="1" customWidth="1"/>
    <col min="7707" max="7707" width="9.5703125" style="1" customWidth="1"/>
    <col min="7708" max="7708" width="6.85546875" style="1" customWidth="1"/>
    <col min="7709" max="7709" width="5.140625" style="1" customWidth="1"/>
    <col min="7710" max="7710" width="18.140625" style="1" customWidth="1"/>
    <col min="7711" max="7728" width="5.7109375" style="1" customWidth="1"/>
    <col min="7729" max="7729" width="7.5703125" style="1" customWidth="1"/>
    <col min="7730" max="7730" width="7.28515625" style="1" customWidth="1"/>
    <col min="7731" max="7732" width="5.7109375" style="1" customWidth="1"/>
    <col min="7733" max="7733" width="18.140625" style="1" customWidth="1"/>
    <col min="7734" max="7748" width="5.7109375" style="1" customWidth="1"/>
    <col min="7749" max="7749" width="6.42578125" style="1" customWidth="1"/>
    <col min="7750" max="7750" width="7.42578125" style="1" customWidth="1"/>
    <col min="7751" max="7763" width="5.7109375" style="1" customWidth="1"/>
    <col min="7764" max="7764" width="6.5703125" style="1" customWidth="1"/>
    <col min="7765" max="7765" width="7.5703125" style="1" customWidth="1"/>
    <col min="7766" max="7766" width="6.5703125" style="1" customWidth="1"/>
    <col min="7767" max="7767" width="18.28515625" style="1" customWidth="1"/>
    <col min="7768" max="7938" width="8.42578125" style="1"/>
    <col min="7939" max="7939" width="10.85546875" style="1" customWidth="1"/>
    <col min="7940" max="7940" width="18.5703125" style="1" customWidth="1"/>
    <col min="7941" max="7941" width="10" style="1" customWidth="1"/>
    <col min="7942" max="7942" width="10.28515625" style="1" customWidth="1"/>
    <col min="7943" max="7947" width="8.28515625" style="1" customWidth="1"/>
    <col min="7948" max="7948" width="10.28515625" style="1" customWidth="1"/>
    <col min="7949" max="7949" width="8.28515625" style="1" customWidth="1"/>
    <col min="7950" max="7950" width="18.28515625" style="1" customWidth="1"/>
    <col min="7951" max="7951" width="6" style="1" customWidth="1"/>
    <col min="7952" max="7953" width="5.42578125" style="1" customWidth="1"/>
    <col min="7954" max="7954" width="5.5703125" style="1" customWidth="1"/>
    <col min="7955" max="7955" width="5.140625" style="1" customWidth="1"/>
    <col min="7956" max="7956" width="5.42578125" style="1" customWidth="1"/>
    <col min="7957" max="7958" width="5.140625" style="1" customWidth="1"/>
    <col min="7959" max="7959" width="5.42578125" style="1" customWidth="1"/>
    <col min="7960" max="7960" width="5.140625" style="1" customWidth="1"/>
    <col min="7961" max="7961" width="5" style="1" customWidth="1"/>
    <col min="7962" max="7962" width="5.42578125" style="1" customWidth="1"/>
    <col min="7963" max="7963" width="9.5703125" style="1" customWidth="1"/>
    <col min="7964" max="7964" width="6.85546875" style="1" customWidth="1"/>
    <col min="7965" max="7965" width="5.140625" style="1" customWidth="1"/>
    <col min="7966" max="7966" width="18.140625" style="1" customWidth="1"/>
    <col min="7967" max="7984" width="5.7109375" style="1" customWidth="1"/>
    <col min="7985" max="7985" width="7.5703125" style="1" customWidth="1"/>
    <col min="7986" max="7986" width="7.28515625" style="1" customWidth="1"/>
    <col min="7987" max="7988" width="5.7109375" style="1" customWidth="1"/>
    <col min="7989" max="7989" width="18.140625" style="1" customWidth="1"/>
    <col min="7990" max="8004" width="5.7109375" style="1" customWidth="1"/>
    <col min="8005" max="8005" width="6.42578125" style="1" customWidth="1"/>
    <col min="8006" max="8006" width="7.42578125" style="1" customWidth="1"/>
    <col min="8007" max="8019" width="5.7109375" style="1" customWidth="1"/>
    <col min="8020" max="8020" width="6.5703125" style="1" customWidth="1"/>
    <col min="8021" max="8021" width="7.5703125" style="1" customWidth="1"/>
    <col min="8022" max="8022" width="6.5703125" style="1" customWidth="1"/>
    <col min="8023" max="8023" width="18.28515625" style="1" customWidth="1"/>
    <col min="8024" max="8194" width="8.42578125" style="1"/>
    <col min="8195" max="8195" width="10.85546875" style="1" customWidth="1"/>
    <col min="8196" max="8196" width="18.5703125" style="1" customWidth="1"/>
    <col min="8197" max="8197" width="10" style="1" customWidth="1"/>
    <col min="8198" max="8198" width="10.28515625" style="1" customWidth="1"/>
    <col min="8199" max="8203" width="8.28515625" style="1" customWidth="1"/>
    <col min="8204" max="8204" width="10.28515625" style="1" customWidth="1"/>
    <col min="8205" max="8205" width="8.28515625" style="1" customWidth="1"/>
    <col min="8206" max="8206" width="18.28515625" style="1" customWidth="1"/>
    <col min="8207" max="8207" width="6" style="1" customWidth="1"/>
    <col min="8208" max="8209" width="5.42578125" style="1" customWidth="1"/>
    <col min="8210" max="8210" width="5.5703125" style="1" customWidth="1"/>
    <col min="8211" max="8211" width="5.140625" style="1" customWidth="1"/>
    <col min="8212" max="8212" width="5.42578125" style="1" customWidth="1"/>
    <col min="8213" max="8214" width="5.140625" style="1" customWidth="1"/>
    <col min="8215" max="8215" width="5.42578125" style="1" customWidth="1"/>
    <col min="8216" max="8216" width="5.140625" style="1" customWidth="1"/>
    <col min="8217" max="8217" width="5" style="1" customWidth="1"/>
    <col min="8218" max="8218" width="5.42578125" style="1" customWidth="1"/>
    <col min="8219" max="8219" width="9.5703125" style="1" customWidth="1"/>
    <col min="8220" max="8220" width="6.85546875" style="1" customWidth="1"/>
    <col min="8221" max="8221" width="5.140625" style="1" customWidth="1"/>
    <col min="8222" max="8222" width="18.140625" style="1" customWidth="1"/>
    <col min="8223" max="8240" width="5.7109375" style="1" customWidth="1"/>
    <col min="8241" max="8241" width="7.5703125" style="1" customWidth="1"/>
    <col min="8242" max="8242" width="7.28515625" style="1" customWidth="1"/>
    <col min="8243" max="8244" width="5.7109375" style="1" customWidth="1"/>
    <col min="8245" max="8245" width="18.140625" style="1" customWidth="1"/>
    <col min="8246" max="8260" width="5.7109375" style="1" customWidth="1"/>
    <col min="8261" max="8261" width="6.42578125" style="1" customWidth="1"/>
    <col min="8262" max="8262" width="7.42578125" style="1" customWidth="1"/>
    <col min="8263" max="8275" width="5.7109375" style="1" customWidth="1"/>
    <col min="8276" max="8276" width="6.5703125" style="1" customWidth="1"/>
    <col min="8277" max="8277" width="7.5703125" style="1" customWidth="1"/>
    <col min="8278" max="8278" width="6.5703125" style="1" customWidth="1"/>
    <col min="8279" max="8279" width="18.28515625" style="1" customWidth="1"/>
    <col min="8280" max="8450" width="8.42578125" style="1"/>
    <col min="8451" max="8451" width="10.85546875" style="1" customWidth="1"/>
    <col min="8452" max="8452" width="18.5703125" style="1" customWidth="1"/>
    <col min="8453" max="8453" width="10" style="1" customWidth="1"/>
    <col min="8454" max="8454" width="10.28515625" style="1" customWidth="1"/>
    <col min="8455" max="8459" width="8.28515625" style="1" customWidth="1"/>
    <col min="8460" max="8460" width="10.28515625" style="1" customWidth="1"/>
    <col min="8461" max="8461" width="8.28515625" style="1" customWidth="1"/>
    <col min="8462" max="8462" width="18.28515625" style="1" customWidth="1"/>
    <col min="8463" max="8463" width="6" style="1" customWidth="1"/>
    <col min="8464" max="8465" width="5.42578125" style="1" customWidth="1"/>
    <col min="8466" max="8466" width="5.5703125" style="1" customWidth="1"/>
    <col min="8467" max="8467" width="5.140625" style="1" customWidth="1"/>
    <col min="8468" max="8468" width="5.42578125" style="1" customWidth="1"/>
    <col min="8469" max="8470" width="5.140625" style="1" customWidth="1"/>
    <col min="8471" max="8471" width="5.42578125" style="1" customWidth="1"/>
    <col min="8472" max="8472" width="5.140625" style="1" customWidth="1"/>
    <col min="8473" max="8473" width="5" style="1" customWidth="1"/>
    <col min="8474" max="8474" width="5.42578125" style="1" customWidth="1"/>
    <col min="8475" max="8475" width="9.5703125" style="1" customWidth="1"/>
    <col min="8476" max="8476" width="6.85546875" style="1" customWidth="1"/>
    <col min="8477" max="8477" width="5.140625" style="1" customWidth="1"/>
    <col min="8478" max="8478" width="18.140625" style="1" customWidth="1"/>
    <col min="8479" max="8496" width="5.7109375" style="1" customWidth="1"/>
    <col min="8497" max="8497" width="7.5703125" style="1" customWidth="1"/>
    <col min="8498" max="8498" width="7.28515625" style="1" customWidth="1"/>
    <col min="8499" max="8500" width="5.7109375" style="1" customWidth="1"/>
    <col min="8501" max="8501" width="18.140625" style="1" customWidth="1"/>
    <col min="8502" max="8516" width="5.7109375" style="1" customWidth="1"/>
    <col min="8517" max="8517" width="6.42578125" style="1" customWidth="1"/>
    <col min="8518" max="8518" width="7.42578125" style="1" customWidth="1"/>
    <col min="8519" max="8531" width="5.7109375" style="1" customWidth="1"/>
    <col min="8532" max="8532" width="6.5703125" style="1" customWidth="1"/>
    <col min="8533" max="8533" width="7.5703125" style="1" customWidth="1"/>
    <col min="8534" max="8534" width="6.5703125" style="1" customWidth="1"/>
    <col min="8535" max="8535" width="18.28515625" style="1" customWidth="1"/>
    <col min="8536" max="8706" width="8.42578125" style="1"/>
    <col min="8707" max="8707" width="10.85546875" style="1" customWidth="1"/>
    <col min="8708" max="8708" width="18.5703125" style="1" customWidth="1"/>
    <col min="8709" max="8709" width="10" style="1" customWidth="1"/>
    <col min="8710" max="8710" width="10.28515625" style="1" customWidth="1"/>
    <col min="8711" max="8715" width="8.28515625" style="1" customWidth="1"/>
    <col min="8716" max="8716" width="10.28515625" style="1" customWidth="1"/>
    <col min="8717" max="8717" width="8.28515625" style="1" customWidth="1"/>
    <col min="8718" max="8718" width="18.28515625" style="1" customWidth="1"/>
    <col min="8719" max="8719" width="6" style="1" customWidth="1"/>
    <col min="8720" max="8721" width="5.42578125" style="1" customWidth="1"/>
    <col min="8722" max="8722" width="5.5703125" style="1" customWidth="1"/>
    <col min="8723" max="8723" width="5.140625" style="1" customWidth="1"/>
    <col min="8724" max="8724" width="5.42578125" style="1" customWidth="1"/>
    <col min="8725" max="8726" width="5.140625" style="1" customWidth="1"/>
    <col min="8727" max="8727" width="5.42578125" style="1" customWidth="1"/>
    <col min="8728" max="8728" width="5.140625" style="1" customWidth="1"/>
    <col min="8729" max="8729" width="5" style="1" customWidth="1"/>
    <col min="8730" max="8730" width="5.42578125" style="1" customWidth="1"/>
    <col min="8731" max="8731" width="9.5703125" style="1" customWidth="1"/>
    <col min="8732" max="8732" width="6.85546875" style="1" customWidth="1"/>
    <col min="8733" max="8733" width="5.140625" style="1" customWidth="1"/>
    <col min="8734" max="8734" width="18.140625" style="1" customWidth="1"/>
    <col min="8735" max="8752" width="5.7109375" style="1" customWidth="1"/>
    <col min="8753" max="8753" width="7.5703125" style="1" customWidth="1"/>
    <col min="8754" max="8754" width="7.28515625" style="1" customWidth="1"/>
    <col min="8755" max="8756" width="5.7109375" style="1" customWidth="1"/>
    <col min="8757" max="8757" width="18.140625" style="1" customWidth="1"/>
    <col min="8758" max="8772" width="5.7109375" style="1" customWidth="1"/>
    <col min="8773" max="8773" width="6.42578125" style="1" customWidth="1"/>
    <col min="8774" max="8774" width="7.42578125" style="1" customWidth="1"/>
    <col min="8775" max="8787" width="5.7109375" style="1" customWidth="1"/>
    <col min="8788" max="8788" width="6.5703125" style="1" customWidth="1"/>
    <col min="8789" max="8789" width="7.5703125" style="1" customWidth="1"/>
    <col min="8790" max="8790" width="6.5703125" style="1" customWidth="1"/>
    <col min="8791" max="8791" width="18.28515625" style="1" customWidth="1"/>
    <col min="8792" max="8962" width="8.42578125" style="1"/>
    <col min="8963" max="8963" width="10.85546875" style="1" customWidth="1"/>
    <col min="8964" max="8964" width="18.5703125" style="1" customWidth="1"/>
    <col min="8965" max="8965" width="10" style="1" customWidth="1"/>
    <col min="8966" max="8966" width="10.28515625" style="1" customWidth="1"/>
    <col min="8967" max="8971" width="8.28515625" style="1" customWidth="1"/>
    <col min="8972" max="8972" width="10.28515625" style="1" customWidth="1"/>
    <col min="8973" max="8973" width="8.28515625" style="1" customWidth="1"/>
    <col min="8974" max="8974" width="18.28515625" style="1" customWidth="1"/>
    <col min="8975" max="8975" width="6" style="1" customWidth="1"/>
    <col min="8976" max="8977" width="5.42578125" style="1" customWidth="1"/>
    <col min="8978" max="8978" width="5.5703125" style="1" customWidth="1"/>
    <col min="8979" max="8979" width="5.140625" style="1" customWidth="1"/>
    <col min="8980" max="8980" width="5.42578125" style="1" customWidth="1"/>
    <col min="8981" max="8982" width="5.140625" style="1" customWidth="1"/>
    <col min="8983" max="8983" width="5.42578125" style="1" customWidth="1"/>
    <col min="8984" max="8984" width="5.140625" style="1" customWidth="1"/>
    <col min="8985" max="8985" width="5" style="1" customWidth="1"/>
    <col min="8986" max="8986" width="5.42578125" style="1" customWidth="1"/>
    <col min="8987" max="8987" width="9.5703125" style="1" customWidth="1"/>
    <col min="8988" max="8988" width="6.85546875" style="1" customWidth="1"/>
    <col min="8989" max="8989" width="5.140625" style="1" customWidth="1"/>
    <col min="8990" max="8990" width="18.140625" style="1" customWidth="1"/>
    <col min="8991" max="9008" width="5.7109375" style="1" customWidth="1"/>
    <col min="9009" max="9009" width="7.5703125" style="1" customWidth="1"/>
    <col min="9010" max="9010" width="7.28515625" style="1" customWidth="1"/>
    <col min="9011" max="9012" width="5.7109375" style="1" customWidth="1"/>
    <col min="9013" max="9013" width="18.140625" style="1" customWidth="1"/>
    <col min="9014" max="9028" width="5.7109375" style="1" customWidth="1"/>
    <col min="9029" max="9029" width="6.42578125" style="1" customWidth="1"/>
    <col min="9030" max="9030" width="7.42578125" style="1" customWidth="1"/>
    <col min="9031" max="9043" width="5.7109375" style="1" customWidth="1"/>
    <col min="9044" max="9044" width="6.5703125" style="1" customWidth="1"/>
    <col min="9045" max="9045" width="7.5703125" style="1" customWidth="1"/>
    <col min="9046" max="9046" width="6.5703125" style="1" customWidth="1"/>
    <col min="9047" max="9047" width="18.28515625" style="1" customWidth="1"/>
    <col min="9048" max="9218" width="8.42578125" style="1"/>
    <col min="9219" max="9219" width="10.85546875" style="1" customWidth="1"/>
    <col min="9220" max="9220" width="18.5703125" style="1" customWidth="1"/>
    <col min="9221" max="9221" width="10" style="1" customWidth="1"/>
    <col min="9222" max="9222" width="10.28515625" style="1" customWidth="1"/>
    <col min="9223" max="9227" width="8.28515625" style="1" customWidth="1"/>
    <col min="9228" max="9228" width="10.28515625" style="1" customWidth="1"/>
    <col min="9229" max="9229" width="8.28515625" style="1" customWidth="1"/>
    <col min="9230" max="9230" width="18.28515625" style="1" customWidth="1"/>
    <col min="9231" max="9231" width="6" style="1" customWidth="1"/>
    <col min="9232" max="9233" width="5.42578125" style="1" customWidth="1"/>
    <col min="9234" max="9234" width="5.5703125" style="1" customWidth="1"/>
    <col min="9235" max="9235" width="5.140625" style="1" customWidth="1"/>
    <col min="9236" max="9236" width="5.42578125" style="1" customWidth="1"/>
    <col min="9237" max="9238" width="5.140625" style="1" customWidth="1"/>
    <col min="9239" max="9239" width="5.42578125" style="1" customWidth="1"/>
    <col min="9240" max="9240" width="5.140625" style="1" customWidth="1"/>
    <col min="9241" max="9241" width="5" style="1" customWidth="1"/>
    <col min="9242" max="9242" width="5.42578125" style="1" customWidth="1"/>
    <col min="9243" max="9243" width="9.5703125" style="1" customWidth="1"/>
    <col min="9244" max="9244" width="6.85546875" style="1" customWidth="1"/>
    <col min="9245" max="9245" width="5.140625" style="1" customWidth="1"/>
    <col min="9246" max="9246" width="18.140625" style="1" customWidth="1"/>
    <col min="9247" max="9264" width="5.7109375" style="1" customWidth="1"/>
    <col min="9265" max="9265" width="7.5703125" style="1" customWidth="1"/>
    <col min="9266" max="9266" width="7.28515625" style="1" customWidth="1"/>
    <col min="9267" max="9268" width="5.7109375" style="1" customWidth="1"/>
    <col min="9269" max="9269" width="18.140625" style="1" customWidth="1"/>
    <col min="9270" max="9284" width="5.7109375" style="1" customWidth="1"/>
    <col min="9285" max="9285" width="6.42578125" style="1" customWidth="1"/>
    <col min="9286" max="9286" width="7.42578125" style="1" customWidth="1"/>
    <col min="9287" max="9299" width="5.7109375" style="1" customWidth="1"/>
    <col min="9300" max="9300" width="6.5703125" style="1" customWidth="1"/>
    <col min="9301" max="9301" width="7.5703125" style="1" customWidth="1"/>
    <col min="9302" max="9302" width="6.5703125" style="1" customWidth="1"/>
    <col min="9303" max="9303" width="18.28515625" style="1" customWidth="1"/>
    <col min="9304" max="9474" width="8.42578125" style="1"/>
    <col min="9475" max="9475" width="10.85546875" style="1" customWidth="1"/>
    <col min="9476" max="9476" width="18.5703125" style="1" customWidth="1"/>
    <col min="9477" max="9477" width="10" style="1" customWidth="1"/>
    <col min="9478" max="9478" width="10.28515625" style="1" customWidth="1"/>
    <col min="9479" max="9483" width="8.28515625" style="1" customWidth="1"/>
    <col min="9484" max="9484" width="10.28515625" style="1" customWidth="1"/>
    <col min="9485" max="9485" width="8.28515625" style="1" customWidth="1"/>
    <col min="9486" max="9486" width="18.28515625" style="1" customWidth="1"/>
    <col min="9487" max="9487" width="6" style="1" customWidth="1"/>
    <col min="9488" max="9489" width="5.42578125" style="1" customWidth="1"/>
    <col min="9490" max="9490" width="5.5703125" style="1" customWidth="1"/>
    <col min="9491" max="9491" width="5.140625" style="1" customWidth="1"/>
    <col min="9492" max="9492" width="5.42578125" style="1" customWidth="1"/>
    <col min="9493" max="9494" width="5.140625" style="1" customWidth="1"/>
    <col min="9495" max="9495" width="5.42578125" style="1" customWidth="1"/>
    <col min="9496" max="9496" width="5.140625" style="1" customWidth="1"/>
    <col min="9497" max="9497" width="5" style="1" customWidth="1"/>
    <col min="9498" max="9498" width="5.42578125" style="1" customWidth="1"/>
    <col min="9499" max="9499" width="9.5703125" style="1" customWidth="1"/>
    <col min="9500" max="9500" width="6.85546875" style="1" customWidth="1"/>
    <col min="9501" max="9501" width="5.140625" style="1" customWidth="1"/>
    <col min="9502" max="9502" width="18.140625" style="1" customWidth="1"/>
    <col min="9503" max="9520" width="5.7109375" style="1" customWidth="1"/>
    <col min="9521" max="9521" width="7.5703125" style="1" customWidth="1"/>
    <col min="9522" max="9522" width="7.28515625" style="1" customWidth="1"/>
    <col min="9523" max="9524" width="5.7109375" style="1" customWidth="1"/>
    <col min="9525" max="9525" width="18.140625" style="1" customWidth="1"/>
    <col min="9526" max="9540" width="5.7109375" style="1" customWidth="1"/>
    <col min="9541" max="9541" width="6.42578125" style="1" customWidth="1"/>
    <col min="9542" max="9542" width="7.42578125" style="1" customWidth="1"/>
    <col min="9543" max="9555" width="5.7109375" style="1" customWidth="1"/>
    <col min="9556" max="9556" width="6.5703125" style="1" customWidth="1"/>
    <col min="9557" max="9557" width="7.5703125" style="1" customWidth="1"/>
    <col min="9558" max="9558" width="6.5703125" style="1" customWidth="1"/>
    <col min="9559" max="9559" width="18.28515625" style="1" customWidth="1"/>
    <col min="9560" max="9730" width="8.42578125" style="1"/>
    <col min="9731" max="9731" width="10.85546875" style="1" customWidth="1"/>
    <col min="9732" max="9732" width="18.5703125" style="1" customWidth="1"/>
    <col min="9733" max="9733" width="10" style="1" customWidth="1"/>
    <col min="9734" max="9734" width="10.28515625" style="1" customWidth="1"/>
    <col min="9735" max="9739" width="8.28515625" style="1" customWidth="1"/>
    <col min="9740" max="9740" width="10.28515625" style="1" customWidth="1"/>
    <col min="9741" max="9741" width="8.28515625" style="1" customWidth="1"/>
    <col min="9742" max="9742" width="18.28515625" style="1" customWidth="1"/>
    <col min="9743" max="9743" width="6" style="1" customWidth="1"/>
    <col min="9744" max="9745" width="5.42578125" style="1" customWidth="1"/>
    <col min="9746" max="9746" width="5.5703125" style="1" customWidth="1"/>
    <col min="9747" max="9747" width="5.140625" style="1" customWidth="1"/>
    <col min="9748" max="9748" width="5.42578125" style="1" customWidth="1"/>
    <col min="9749" max="9750" width="5.140625" style="1" customWidth="1"/>
    <col min="9751" max="9751" width="5.42578125" style="1" customWidth="1"/>
    <col min="9752" max="9752" width="5.140625" style="1" customWidth="1"/>
    <col min="9753" max="9753" width="5" style="1" customWidth="1"/>
    <col min="9754" max="9754" width="5.42578125" style="1" customWidth="1"/>
    <col min="9755" max="9755" width="9.5703125" style="1" customWidth="1"/>
    <col min="9756" max="9756" width="6.85546875" style="1" customWidth="1"/>
    <col min="9757" max="9757" width="5.140625" style="1" customWidth="1"/>
    <col min="9758" max="9758" width="18.140625" style="1" customWidth="1"/>
    <col min="9759" max="9776" width="5.7109375" style="1" customWidth="1"/>
    <col min="9777" max="9777" width="7.5703125" style="1" customWidth="1"/>
    <col min="9778" max="9778" width="7.28515625" style="1" customWidth="1"/>
    <col min="9779" max="9780" width="5.7109375" style="1" customWidth="1"/>
    <col min="9781" max="9781" width="18.140625" style="1" customWidth="1"/>
    <col min="9782" max="9796" width="5.7109375" style="1" customWidth="1"/>
    <col min="9797" max="9797" width="6.42578125" style="1" customWidth="1"/>
    <col min="9798" max="9798" width="7.42578125" style="1" customWidth="1"/>
    <col min="9799" max="9811" width="5.7109375" style="1" customWidth="1"/>
    <col min="9812" max="9812" width="6.5703125" style="1" customWidth="1"/>
    <col min="9813" max="9813" width="7.5703125" style="1" customWidth="1"/>
    <col min="9814" max="9814" width="6.5703125" style="1" customWidth="1"/>
    <col min="9815" max="9815" width="18.28515625" style="1" customWidth="1"/>
    <col min="9816" max="9986" width="8.42578125" style="1"/>
    <col min="9987" max="9987" width="10.85546875" style="1" customWidth="1"/>
    <col min="9988" max="9988" width="18.5703125" style="1" customWidth="1"/>
    <col min="9989" max="9989" width="10" style="1" customWidth="1"/>
    <col min="9990" max="9990" width="10.28515625" style="1" customWidth="1"/>
    <col min="9991" max="9995" width="8.28515625" style="1" customWidth="1"/>
    <col min="9996" max="9996" width="10.28515625" style="1" customWidth="1"/>
    <col min="9997" max="9997" width="8.28515625" style="1" customWidth="1"/>
    <col min="9998" max="9998" width="18.28515625" style="1" customWidth="1"/>
    <col min="9999" max="9999" width="6" style="1" customWidth="1"/>
    <col min="10000" max="10001" width="5.42578125" style="1" customWidth="1"/>
    <col min="10002" max="10002" width="5.5703125" style="1" customWidth="1"/>
    <col min="10003" max="10003" width="5.140625" style="1" customWidth="1"/>
    <col min="10004" max="10004" width="5.42578125" style="1" customWidth="1"/>
    <col min="10005" max="10006" width="5.140625" style="1" customWidth="1"/>
    <col min="10007" max="10007" width="5.42578125" style="1" customWidth="1"/>
    <col min="10008" max="10008" width="5.140625" style="1" customWidth="1"/>
    <col min="10009" max="10009" width="5" style="1" customWidth="1"/>
    <col min="10010" max="10010" width="5.42578125" style="1" customWidth="1"/>
    <col min="10011" max="10011" width="9.5703125" style="1" customWidth="1"/>
    <col min="10012" max="10012" width="6.85546875" style="1" customWidth="1"/>
    <col min="10013" max="10013" width="5.140625" style="1" customWidth="1"/>
    <col min="10014" max="10014" width="18.140625" style="1" customWidth="1"/>
    <col min="10015" max="10032" width="5.7109375" style="1" customWidth="1"/>
    <col min="10033" max="10033" width="7.5703125" style="1" customWidth="1"/>
    <col min="10034" max="10034" width="7.28515625" style="1" customWidth="1"/>
    <col min="10035" max="10036" width="5.7109375" style="1" customWidth="1"/>
    <col min="10037" max="10037" width="18.140625" style="1" customWidth="1"/>
    <col min="10038" max="10052" width="5.7109375" style="1" customWidth="1"/>
    <col min="10053" max="10053" width="6.42578125" style="1" customWidth="1"/>
    <col min="10054" max="10054" width="7.42578125" style="1" customWidth="1"/>
    <col min="10055" max="10067" width="5.7109375" style="1" customWidth="1"/>
    <col min="10068" max="10068" width="6.5703125" style="1" customWidth="1"/>
    <col min="10069" max="10069" width="7.5703125" style="1" customWidth="1"/>
    <col min="10070" max="10070" width="6.5703125" style="1" customWidth="1"/>
    <col min="10071" max="10071" width="18.28515625" style="1" customWidth="1"/>
    <col min="10072" max="10242" width="8.42578125" style="1"/>
    <col min="10243" max="10243" width="10.85546875" style="1" customWidth="1"/>
    <col min="10244" max="10244" width="18.5703125" style="1" customWidth="1"/>
    <col min="10245" max="10245" width="10" style="1" customWidth="1"/>
    <col min="10246" max="10246" width="10.28515625" style="1" customWidth="1"/>
    <col min="10247" max="10251" width="8.28515625" style="1" customWidth="1"/>
    <col min="10252" max="10252" width="10.28515625" style="1" customWidth="1"/>
    <col min="10253" max="10253" width="8.28515625" style="1" customWidth="1"/>
    <col min="10254" max="10254" width="18.28515625" style="1" customWidth="1"/>
    <col min="10255" max="10255" width="6" style="1" customWidth="1"/>
    <col min="10256" max="10257" width="5.42578125" style="1" customWidth="1"/>
    <col min="10258" max="10258" width="5.5703125" style="1" customWidth="1"/>
    <col min="10259" max="10259" width="5.140625" style="1" customWidth="1"/>
    <col min="10260" max="10260" width="5.42578125" style="1" customWidth="1"/>
    <col min="10261" max="10262" width="5.140625" style="1" customWidth="1"/>
    <col min="10263" max="10263" width="5.42578125" style="1" customWidth="1"/>
    <col min="10264" max="10264" width="5.140625" style="1" customWidth="1"/>
    <col min="10265" max="10265" width="5" style="1" customWidth="1"/>
    <col min="10266" max="10266" width="5.42578125" style="1" customWidth="1"/>
    <col min="10267" max="10267" width="9.5703125" style="1" customWidth="1"/>
    <col min="10268" max="10268" width="6.85546875" style="1" customWidth="1"/>
    <col min="10269" max="10269" width="5.140625" style="1" customWidth="1"/>
    <col min="10270" max="10270" width="18.140625" style="1" customWidth="1"/>
    <col min="10271" max="10288" width="5.7109375" style="1" customWidth="1"/>
    <col min="10289" max="10289" width="7.5703125" style="1" customWidth="1"/>
    <col min="10290" max="10290" width="7.28515625" style="1" customWidth="1"/>
    <col min="10291" max="10292" width="5.7109375" style="1" customWidth="1"/>
    <col min="10293" max="10293" width="18.140625" style="1" customWidth="1"/>
    <col min="10294" max="10308" width="5.7109375" style="1" customWidth="1"/>
    <col min="10309" max="10309" width="6.42578125" style="1" customWidth="1"/>
    <col min="10310" max="10310" width="7.42578125" style="1" customWidth="1"/>
    <col min="10311" max="10323" width="5.7109375" style="1" customWidth="1"/>
    <col min="10324" max="10324" width="6.5703125" style="1" customWidth="1"/>
    <col min="10325" max="10325" width="7.5703125" style="1" customWidth="1"/>
    <col min="10326" max="10326" width="6.5703125" style="1" customWidth="1"/>
    <col min="10327" max="10327" width="18.28515625" style="1" customWidth="1"/>
    <col min="10328" max="10498" width="8.42578125" style="1"/>
    <col min="10499" max="10499" width="10.85546875" style="1" customWidth="1"/>
    <col min="10500" max="10500" width="18.5703125" style="1" customWidth="1"/>
    <col min="10501" max="10501" width="10" style="1" customWidth="1"/>
    <col min="10502" max="10502" width="10.28515625" style="1" customWidth="1"/>
    <col min="10503" max="10507" width="8.28515625" style="1" customWidth="1"/>
    <col min="10508" max="10508" width="10.28515625" style="1" customWidth="1"/>
    <col min="10509" max="10509" width="8.28515625" style="1" customWidth="1"/>
    <col min="10510" max="10510" width="18.28515625" style="1" customWidth="1"/>
    <col min="10511" max="10511" width="6" style="1" customWidth="1"/>
    <col min="10512" max="10513" width="5.42578125" style="1" customWidth="1"/>
    <col min="10514" max="10514" width="5.5703125" style="1" customWidth="1"/>
    <col min="10515" max="10515" width="5.140625" style="1" customWidth="1"/>
    <col min="10516" max="10516" width="5.42578125" style="1" customWidth="1"/>
    <col min="10517" max="10518" width="5.140625" style="1" customWidth="1"/>
    <col min="10519" max="10519" width="5.42578125" style="1" customWidth="1"/>
    <col min="10520" max="10520" width="5.140625" style="1" customWidth="1"/>
    <col min="10521" max="10521" width="5" style="1" customWidth="1"/>
    <col min="10522" max="10522" width="5.42578125" style="1" customWidth="1"/>
    <col min="10523" max="10523" width="9.5703125" style="1" customWidth="1"/>
    <col min="10524" max="10524" width="6.85546875" style="1" customWidth="1"/>
    <col min="10525" max="10525" width="5.140625" style="1" customWidth="1"/>
    <col min="10526" max="10526" width="18.140625" style="1" customWidth="1"/>
    <col min="10527" max="10544" width="5.7109375" style="1" customWidth="1"/>
    <col min="10545" max="10545" width="7.5703125" style="1" customWidth="1"/>
    <col min="10546" max="10546" width="7.28515625" style="1" customWidth="1"/>
    <col min="10547" max="10548" width="5.7109375" style="1" customWidth="1"/>
    <col min="10549" max="10549" width="18.140625" style="1" customWidth="1"/>
    <col min="10550" max="10564" width="5.7109375" style="1" customWidth="1"/>
    <col min="10565" max="10565" width="6.42578125" style="1" customWidth="1"/>
    <col min="10566" max="10566" width="7.42578125" style="1" customWidth="1"/>
    <col min="10567" max="10579" width="5.7109375" style="1" customWidth="1"/>
    <col min="10580" max="10580" width="6.5703125" style="1" customWidth="1"/>
    <col min="10581" max="10581" width="7.5703125" style="1" customWidth="1"/>
    <col min="10582" max="10582" width="6.5703125" style="1" customWidth="1"/>
    <col min="10583" max="10583" width="18.28515625" style="1" customWidth="1"/>
    <col min="10584" max="10754" width="8.42578125" style="1"/>
    <col min="10755" max="10755" width="10.85546875" style="1" customWidth="1"/>
    <col min="10756" max="10756" width="18.5703125" style="1" customWidth="1"/>
    <col min="10757" max="10757" width="10" style="1" customWidth="1"/>
    <col min="10758" max="10758" width="10.28515625" style="1" customWidth="1"/>
    <col min="10759" max="10763" width="8.28515625" style="1" customWidth="1"/>
    <col min="10764" max="10764" width="10.28515625" style="1" customWidth="1"/>
    <col min="10765" max="10765" width="8.28515625" style="1" customWidth="1"/>
    <col min="10766" max="10766" width="18.28515625" style="1" customWidth="1"/>
    <col min="10767" max="10767" width="6" style="1" customWidth="1"/>
    <col min="10768" max="10769" width="5.42578125" style="1" customWidth="1"/>
    <col min="10770" max="10770" width="5.5703125" style="1" customWidth="1"/>
    <col min="10771" max="10771" width="5.140625" style="1" customWidth="1"/>
    <col min="10772" max="10772" width="5.42578125" style="1" customWidth="1"/>
    <col min="10773" max="10774" width="5.140625" style="1" customWidth="1"/>
    <col min="10775" max="10775" width="5.42578125" style="1" customWidth="1"/>
    <col min="10776" max="10776" width="5.140625" style="1" customWidth="1"/>
    <col min="10777" max="10777" width="5" style="1" customWidth="1"/>
    <col min="10778" max="10778" width="5.42578125" style="1" customWidth="1"/>
    <col min="10779" max="10779" width="9.5703125" style="1" customWidth="1"/>
    <col min="10780" max="10780" width="6.85546875" style="1" customWidth="1"/>
    <col min="10781" max="10781" width="5.140625" style="1" customWidth="1"/>
    <col min="10782" max="10782" width="18.140625" style="1" customWidth="1"/>
    <col min="10783" max="10800" width="5.7109375" style="1" customWidth="1"/>
    <col min="10801" max="10801" width="7.5703125" style="1" customWidth="1"/>
    <col min="10802" max="10802" width="7.28515625" style="1" customWidth="1"/>
    <col min="10803" max="10804" width="5.7109375" style="1" customWidth="1"/>
    <col min="10805" max="10805" width="18.140625" style="1" customWidth="1"/>
    <col min="10806" max="10820" width="5.7109375" style="1" customWidth="1"/>
    <col min="10821" max="10821" width="6.42578125" style="1" customWidth="1"/>
    <col min="10822" max="10822" width="7.42578125" style="1" customWidth="1"/>
    <col min="10823" max="10835" width="5.7109375" style="1" customWidth="1"/>
    <col min="10836" max="10836" width="6.5703125" style="1" customWidth="1"/>
    <col min="10837" max="10837" width="7.5703125" style="1" customWidth="1"/>
    <col min="10838" max="10838" width="6.5703125" style="1" customWidth="1"/>
    <col min="10839" max="10839" width="18.28515625" style="1" customWidth="1"/>
    <col min="10840" max="11010" width="8.42578125" style="1"/>
    <col min="11011" max="11011" width="10.85546875" style="1" customWidth="1"/>
    <col min="11012" max="11012" width="18.5703125" style="1" customWidth="1"/>
    <col min="11013" max="11013" width="10" style="1" customWidth="1"/>
    <col min="11014" max="11014" width="10.28515625" style="1" customWidth="1"/>
    <col min="11015" max="11019" width="8.28515625" style="1" customWidth="1"/>
    <col min="11020" max="11020" width="10.28515625" style="1" customWidth="1"/>
    <col min="11021" max="11021" width="8.28515625" style="1" customWidth="1"/>
    <col min="11022" max="11022" width="18.28515625" style="1" customWidth="1"/>
    <col min="11023" max="11023" width="6" style="1" customWidth="1"/>
    <col min="11024" max="11025" width="5.42578125" style="1" customWidth="1"/>
    <col min="11026" max="11026" width="5.5703125" style="1" customWidth="1"/>
    <col min="11027" max="11027" width="5.140625" style="1" customWidth="1"/>
    <col min="11028" max="11028" width="5.42578125" style="1" customWidth="1"/>
    <col min="11029" max="11030" width="5.140625" style="1" customWidth="1"/>
    <col min="11031" max="11031" width="5.42578125" style="1" customWidth="1"/>
    <col min="11032" max="11032" width="5.140625" style="1" customWidth="1"/>
    <col min="11033" max="11033" width="5" style="1" customWidth="1"/>
    <col min="11034" max="11034" width="5.42578125" style="1" customWidth="1"/>
    <col min="11035" max="11035" width="9.5703125" style="1" customWidth="1"/>
    <col min="11036" max="11036" width="6.85546875" style="1" customWidth="1"/>
    <col min="11037" max="11037" width="5.140625" style="1" customWidth="1"/>
    <col min="11038" max="11038" width="18.140625" style="1" customWidth="1"/>
    <col min="11039" max="11056" width="5.7109375" style="1" customWidth="1"/>
    <col min="11057" max="11057" width="7.5703125" style="1" customWidth="1"/>
    <col min="11058" max="11058" width="7.28515625" style="1" customWidth="1"/>
    <col min="11059" max="11060" width="5.7109375" style="1" customWidth="1"/>
    <col min="11061" max="11061" width="18.140625" style="1" customWidth="1"/>
    <col min="11062" max="11076" width="5.7109375" style="1" customWidth="1"/>
    <col min="11077" max="11077" width="6.42578125" style="1" customWidth="1"/>
    <col min="11078" max="11078" width="7.42578125" style="1" customWidth="1"/>
    <col min="11079" max="11091" width="5.7109375" style="1" customWidth="1"/>
    <col min="11092" max="11092" width="6.5703125" style="1" customWidth="1"/>
    <col min="11093" max="11093" width="7.5703125" style="1" customWidth="1"/>
    <col min="11094" max="11094" width="6.5703125" style="1" customWidth="1"/>
    <col min="11095" max="11095" width="18.28515625" style="1" customWidth="1"/>
    <col min="11096" max="11266" width="8.42578125" style="1"/>
    <col min="11267" max="11267" width="10.85546875" style="1" customWidth="1"/>
    <col min="11268" max="11268" width="18.5703125" style="1" customWidth="1"/>
    <col min="11269" max="11269" width="10" style="1" customWidth="1"/>
    <col min="11270" max="11270" width="10.28515625" style="1" customWidth="1"/>
    <col min="11271" max="11275" width="8.28515625" style="1" customWidth="1"/>
    <col min="11276" max="11276" width="10.28515625" style="1" customWidth="1"/>
    <col min="11277" max="11277" width="8.28515625" style="1" customWidth="1"/>
    <col min="11278" max="11278" width="18.28515625" style="1" customWidth="1"/>
    <col min="11279" max="11279" width="6" style="1" customWidth="1"/>
    <col min="11280" max="11281" width="5.42578125" style="1" customWidth="1"/>
    <col min="11282" max="11282" width="5.5703125" style="1" customWidth="1"/>
    <col min="11283" max="11283" width="5.140625" style="1" customWidth="1"/>
    <col min="11284" max="11284" width="5.42578125" style="1" customWidth="1"/>
    <col min="11285" max="11286" width="5.140625" style="1" customWidth="1"/>
    <col min="11287" max="11287" width="5.42578125" style="1" customWidth="1"/>
    <col min="11288" max="11288" width="5.140625" style="1" customWidth="1"/>
    <col min="11289" max="11289" width="5" style="1" customWidth="1"/>
    <col min="11290" max="11290" width="5.42578125" style="1" customWidth="1"/>
    <col min="11291" max="11291" width="9.5703125" style="1" customWidth="1"/>
    <col min="11292" max="11292" width="6.85546875" style="1" customWidth="1"/>
    <col min="11293" max="11293" width="5.140625" style="1" customWidth="1"/>
    <col min="11294" max="11294" width="18.140625" style="1" customWidth="1"/>
    <col min="11295" max="11312" width="5.7109375" style="1" customWidth="1"/>
    <col min="11313" max="11313" width="7.5703125" style="1" customWidth="1"/>
    <col min="11314" max="11314" width="7.28515625" style="1" customWidth="1"/>
    <col min="11315" max="11316" width="5.7109375" style="1" customWidth="1"/>
    <col min="11317" max="11317" width="18.140625" style="1" customWidth="1"/>
    <col min="11318" max="11332" width="5.7109375" style="1" customWidth="1"/>
    <col min="11333" max="11333" width="6.42578125" style="1" customWidth="1"/>
    <col min="11334" max="11334" width="7.42578125" style="1" customWidth="1"/>
    <col min="11335" max="11347" width="5.7109375" style="1" customWidth="1"/>
    <col min="11348" max="11348" width="6.5703125" style="1" customWidth="1"/>
    <col min="11349" max="11349" width="7.5703125" style="1" customWidth="1"/>
    <col min="11350" max="11350" width="6.5703125" style="1" customWidth="1"/>
    <col min="11351" max="11351" width="18.28515625" style="1" customWidth="1"/>
    <col min="11352" max="11522" width="8.42578125" style="1"/>
    <col min="11523" max="11523" width="10.85546875" style="1" customWidth="1"/>
    <col min="11524" max="11524" width="18.5703125" style="1" customWidth="1"/>
    <col min="11525" max="11525" width="10" style="1" customWidth="1"/>
    <col min="11526" max="11526" width="10.28515625" style="1" customWidth="1"/>
    <col min="11527" max="11531" width="8.28515625" style="1" customWidth="1"/>
    <col min="11532" max="11532" width="10.28515625" style="1" customWidth="1"/>
    <col min="11533" max="11533" width="8.28515625" style="1" customWidth="1"/>
    <col min="11534" max="11534" width="18.28515625" style="1" customWidth="1"/>
    <col min="11535" max="11535" width="6" style="1" customWidth="1"/>
    <col min="11536" max="11537" width="5.42578125" style="1" customWidth="1"/>
    <col min="11538" max="11538" width="5.5703125" style="1" customWidth="1"/>
    <col min="11539" max="11539" width="5.140625" style="1" customWidth="1"/>
    <col min="11540" max="11540" width="5.42578125" style="1" customWidth="1"/>
    <col min="11541" max="11542" width="5.140625" style="1" customWidth="1"/>
    <col min="11543" max="11543" width="5.42578125" style="1" customWidth="1"/>
    <col min="11544" max="11544" width="5.140625" style="1" customWidth="1"/>
    <col min="11545" max="11545" width="5" style="1" customWidth="1"/>
    <col min="11546" max="11546" width="5.42578125" style="1" customWidth="1"/>
    <col min="11547" max="11547" width="9.5703125" style="1" customWidth="1"/>
    <col min="11548" max="11548" width="6.85546875" style="1" customWidth="1"/>
    <col min="11549" max="11549" width="5.140625" style="1" customWidth="1"/>
    <col min="11550" max="11550" width="18.140625" style="1" customWidth="1"/>
    <col min="11551" max="11568" width="5.7109375" style="1" customWidth="1"/>
    <col min="11569" max="11569" width="7.5703125" style="1" customWidth="1"/>
    <col min="11570" max="11570" width="7.28515625" style="1" customWidth="1"/>
    <col min="11571" max="11572" width="5.7109375" style="1" customWidth="1"/>
    <col min="11573" max="11573" width="18.140625" style="1" customWidth="1"/>
    <col min="11574" max="11588" width="5.7109375" style="1" customWidth="1"/>
    <col min="11589" max="11589" width="6.42578125" style="1" customWidth="1"/>
    <col min="11590" max="11590" width="7.42578125" style="1" customWidth="1"/>
    <col min="11591" max="11603" width="5.7109375" style="1" customWidth="1"/>
    <col min="11604" max="11604" width="6.5703125" style="1" customWidth="1"/>
    <col min="11605" max="11605" width="7.5703125" style="1" customWidth="1"/>
    <col min="11606" max="11606" width="6.5703125" style="1" customWidth="1"/>
    <col min="11607" max="11607" width="18.28515625" style="1" customWidth="1"/>
    <col min="11608" max="11778" width="8.42578125" style="1"/>
    <col min="11779" max="11779" width="10.85546875" style="1" customWidth="1"/>
    <col min="11780" max="11780" width="18.5703125" style="1" customWidth="1"/>
    <col min="11781" max="11781" width="10" style="1" customWidth="1"/>
    <col min="11782" max="11782" width="10.28515625" style="1" customWidth="1"/>
    <col min="11783" max="11787" width="8.28515625" style="1" customWidth="1"/>
    <col min="11788" max="11788" width="10.28515625" style="1" customWidth="1"/>
    <col min="11789" max="11789" width="8.28515625" style="1" customWidth="1"/>
    <col min="11790" max="11790" width="18.28515625" style="1" customWidth="1"/>
    <col min="11791" max="11791" width="6" style="1" customWidth="1"/>
    <col min="11792" max="11793" width="5.42578125" style="1" customWidth="1"/>
    <col min="11794" max="11794" width="5.5703125" style="1" customWidth="1"/>
    <col min="11795" max="11795" width="5.140625" style="1" customWidth="1"/>
    <col min="11796" max="11796" width="5.42578125" style="1" customWidth="1"/>
    <col min="11797" max="11798" width="5.140625" style="1" customWidth="1"/>
    <col min="11799" max="11799" width="5.42578125" style="1" customWidth="1"/>
    <col min="11800" max="11800" width="5.140625" style="1" customWidth="1"/>
    <col min="11801" max="11801" width="5" style="1" customWidth="1"/>
    <col min="11802" max="11802" width="5.42578125" style="1" customWidth="1"/>
    <col min="11803" max="11803" width="9.5703125" style="1" customWidth="1"/>
    <col min="11804" max="11804" width="6.85546875" style="1" customWidth="1"/>
    <col min="11805" max="11805" width="5.140625" style="1" customWidth="1"/>
    <col min="11806" max="11806" width="18.140625" style="1" customWidth="1"/>
    <col min="11807" max="11824" width="5.7109375" style="1" customWidth="1"/>
    <col min="11825" max="11825" width="7.5703125" style="1" customWidth="1"/>
    <col min="11826" max="11826" width="7.28515625" style="1" customWidth="1"/>
    <col min="11827" max="11828" width="5.7109375" style="1" customWidth="1"/>
    <col min="11829" max="11829" width="18.140625" style="1" customWidth="1"/>
    <col min="11830" max="11844" width="5.7109375" style="1" customWidth="1"/>
    <col min="11845" max="11845" width="6.42578125" style="1" customWidth="1"/>
    <col min="11846" max="11846" width="7.42578125" style="1" customWidth="1"/>
    <col min="11847" max="11859" width="5.7109375" style="1" customWidth="1"/>
    <col min="11860" max="11860" width="6.5703125" style="1" customWidth="1"/>
    <col min="11861" max="11861" width="7.5703125" style="1" customWidth="1"/>
    <col min="11862" max="11862" width="6.5703125" style="1" customWidth="1"/>
    <col min="11863" max="11863" width="18.28515625" style="1" customWidth="1"/>
    <col min="11864" max="12034" width="8.42578125" style="1"/>
    <col min="12035" max="12035" width="10.85546875" style="1" customWidth="1"/>
    <col min="12036" max="12036" width="18.5703125" style="1" customWidth="1"/>
    <col min="12037" max="12037" width="10" style="1" customWidth="1"/>
    <col min="12038" max="12038" width="10.28515625" style="1" customWidth="1"/>
    <col min="12039" max="12043" width="8.28515625" style="1" customWidth="1"/>
    <col min="12044" max="12044" width="10.28515625" style="1" customWidth="1"/>
    <col min="12045" max="12045" width="8.28515625" style="1" customWidth="1"/>
    <col min="12046" max="12046" width="18.28515625" style="1" customWidth="1"/>
    <col min="12047" max="12047" width="6" style="1" customWidth="1"/>
    <col min="12048" max="12049" width="5.42578125" style="1" customWidth="1"/>
    <col min="12050" max="12050" width="5.5703125" style="1" customWidth="1"/>
    <col min="12051" max="12051" width="5.140625" style="1" customWidth="1"/>
    <col min="12052" max="12052" width="5.42578125" style="1" customWidth="1"/>
    <col min="12053" max="12054" width="5.140625" style="1" customWidth="1"/>
    <col min="12055" max="12055" width="5.42578125" style="1" customWidth="1"/>
    <col min="12056" max="12056" width="5.140625" style="1" customWidth="1"/>
    <col min="12057" max="12057" width="5" style="1" customWidth="1"/>
    <col min="12058" max="12058" width="5.42578125" style="1" customWidth="1"/>
    <col min="12059" max="12059" width="9.5703125" style="1" customWidth="1"/>
    <col min="12060" max="12060" width="6.85546875" style="1" customWidth="1"/>
    <col min="12061" max="12061" width="5.140625" style="1" customWidth="1"/>
    <col min="12062" max="12062" width="18.140625" style="1" customWidth="1"/>
    <col min="12063" max="12080" width="5.7109375" style="1" customWidth="1"/>
    <col min="12081" max="12081" width="7.5703125" style="1" customWidth="1"/>
    <col min="12082" max="12082" width="7.28515625" style="1" customWidth="1"/>
    <col min="12083" max="12084" width="5.7109375" style="1" customWidth="1"/>
    <col min="12085" max="12085" width="18.140625" style="1" customWidth="1"/>
    <col min="12086" max="12100" width="5.7109375" style="1" customWidth="1"/>
    <col min="12101" max="12101" width="6.42578125" style="1" customWidth="1"/>
    <col min="12102" max="12102" width="7.42578125" style="1" customWidth="1"/>
    <col min="12103" max="12115" width="5.7109375" style="1" customWidth="1"/>
    <col min="12116" max="12116" width="6.5703125" style="1" customWidth="1"/>
    <col min="12117" max="12117" width="7.5703125" style="1" customWidth="1"/>
    <col min="12118" max="12118" width="6.5703125" style="1" customWidth="1"/>
    <col min="12119" max="12119" width="18.28515625" style="1" customWidth="1"/>
    <col min="12120" max="12290" width="8.42578125" style="1"/>
    <col min="12291" max="12291" width="10.85546875" style="1" customWidth="1"/>
    <col min="12292" max="12292" width="18.5703125" style="1" customWidth="1"/>
    <col min="12293" max="12293" width="10" style="1" customWidth="1"/>
    <col min="12294" max="12294" width="10.28515625" style="1" customWidth="1"/>
    <col min="12295" max="12299" width="8.28515625" style="1" customWidth="1"/>
    <col min="12300" max="12300" width="10.28515625" style="1" customWidth="1"/>
    <col min="12301" max="12301" width="8.28515625" style="1" customWidth="1"/>
    <col min="12302" max="12302" width="18.28515625" style="1" customWidth="1"/>
    <col min="12303" max="12303" width="6" style="1" customWidth="1"/>
    <col min="12304" max="12305" width="5.42578125" style="1" customWidth="1"/>
    <col min="12306" max="12306" width="5.5703125" style="1" customWidth="1"/>
    <col min="12307" max="12307" width="5.140625" style="1" customWidth="1"/>
    <col min="12308" max="12308" width="5.42578125" style="1" customWidth="1"/>
    <col min="12309" max="12310" width="5.140625" style="1" customWidth="1"/>
    <col min="12311" max="12311" width="5.42578125" style="1" customWidth="1"/>
    <col min="12312" max="12312" width="5.140625" style="1" customWidth="1"/>
    <col min="12313" max="12313" width="5" style="1" customWidth="1"/>
    <col min="12314" max="12314" width="5.42578125" style="1" customWidth="1"/>
    <col min="12315" max="12315" width="9.5703125" style="1" customWidth="1"/>
    <col min="12316" max="12316" width="6.85546875" style="1" customWidth="1"/>
    <col min="12317" max="12317" width="5.140625" style="1" customWidth="1"/>
    <col min="12318" max="12318" width="18.140625" style="1" customWidth="1"/>
    <col min="12319" max="12336" width="5.7109375" style="1" customWidth="1"/>
    <col min="12337" max="12337" width="7.5703125" style="1" customWidth="1"/>
    <col min="12338" max="12338" width="7.28515625" style="1" customWidth="1"/>
    <col min="12339" max="12340" width="5.7109375" style="1" customWidth="1"/>
    <col min="12341" max="12341" width="18.140625" style="1" customWidth="1"/>
    <col min="12342" max="12356" width="5.7109375" style="1" customWidth="1"/>
    <col min="12357" max="12357" width="6.42578125" style="1" customWidth="1"/>
    <col min="12358" max="12358" width="7.42578125" style="1" customWidth="1"/>
    <col min="12359" max="12371" width="5.7109375" style="1" customWidth="1"/>
    <col min="12372" max="12372" width="6.5703125" style="1" customWidth="1"/>
    <col min="12373" max="12373" width="7.5703125" style="1" customWidth="1"/>
    <col min="12374" max="12374" width="6.5703125" style="1" customWidth="1"/>
    <col min="12375" max="12375" width="18.28515625" style="1" customWidth="1"/>
    <col min="12376" max="12546" width="8.42578125" style="1"/>
    <col min="12547" max="12547" width="10.85546875" style="1" customWidth="1"/>
    <col min="12548" max="12548" width="18.5703125" style="1" customWidth="1"/>
    <col min="12549" max="12549" width="10" style="1" customWidth="1"/>
    <col min="12550" max="12550" width="10.28515625" style="1" customWidth="1"/>
    <col min="12551" max="12555" width="8.28515625" style="1" customWidth="1"/>
    <col min="12556" max="12556" width="10.28515625" style="1" customWidth="1"/>
    <col min="12557" max="12557" width="8.28515625" style="1" customWidth="1"/>
    <col min="12558" max="12558" width="18.28515625" style="1" customWidth="1"/>
    <col min="12559" max="12559" width="6" style="1" customWidth="1"/>
    <col min="12560" max="12561" width="5.42578125" style="1" customWidth="1"/>
    <col min="12562" max="12562" width="5.5703125" style="1" customWidth="1"/>
    <col min="12563" max="12563" width="5.140625" style="1" customWidth="1"/>
    <col min="12564" max="12564" width="5.42578125" style="1" customWidth="1"/>
    <col min="12565" max="12566" width="5.140625" style="1" customWidth="1"/>
    <col min="12567" max="12567" width="5.42578125" style="1" customWidth="1"/>
    <col min="12568" max="12568" width="5.140625" style="1" customWidth="1"/>
    <col min="12569" max="12569" width="5" style="1" customWidth="1"/>
    <col min="12570" max="12570" width="5.42578125" style="1" customWidth="1"/>
    <col min="12571" max="12571" width="9.5703125" style="1" customWidth="1"/>
    <col min="12572" max="12572" width="6.85546875" style="1" customWidth="1"/>
    <col min="12573" max="12573" width="5.140625" style="1" customWidth="1"/>
    <col min="12574" max="12574" width="18.140625" style="1" customWidth="1"/>
    <col min="12575" max="12592" width="5.7109375" style="1" customWidth="1"/>
    <col min="12593" max="12593" width="7.5703125" style="1" customWidth="1"/>
    <col min="12594" max="12594" width="7.28515625" style="1" customWidth="1"/>
    <col min="12595" max="12596" width="5.7109375" style="1" customWidth="1"/>
    <col min="12597" max="12597" width="18.140625" style="1" customWidth="1"/>
    <col min="12598" max="12612" width="5.7109375" style="1" customWidth="1"/>
    <col min="12613" max="12613" width="6.42578125" style="1" customWidth="1"/>
    <col min="12614" max="12614" width="7.42578125" style="1" customWidth="1"/>
    <col min="12615" max="12627" width="5.7109375" style="1" customWidth="1"/>
    <col min="12628" max="12628" width="6.5703125" style="1" customWidth="1"/>
    <col min="12629" max="12629" width="7.5703125" style="1" customWidth="1"/>
    <col min="12630" max="12630" width="6.5703125" style="1" customWidth="1"/>
    <col min="12631" max="12631" width="18.28515625" style="1" customWidth="1"/>
    <col min="12632" max="12802" width="8.42578125" style="1"/>
    <col min="12803" max="12803" width="10.85546875" style="1" customWidth="1"/>
    <col min="12804" max="12804" width="18.5703125" style="1" customWidth="1"/>
    <col min="12805" max="12805" width="10" style="1" customWidth="1"/>
    <col min="12806" max="12806" width="10.28515625" style="1" customWidth="1"/>
    <col min="12807" max="12811" width="8.28515625" style="1" customWidth="1"/>
    <col min="12812" max="12812" width="10.28515625" style="1" customWidth="1"/>
    <col min="12813" max="12813" width="8.28515625" style="1" customWidth="1"/>
    <col min="12814" max="12814" width="18.28515625" style="1" customWidth="1"/>
    <col min="12815" max="12815" width="6" style="1" customWidth="1"/>
    <col min="12816" max="12817" width="5.42578125" style="1" customWidth="1"/>
    <col min="12818" max="12818" width="5.5703125" style="1" customWidth="1"/>
    <col min="12819" max="12819" width="5.140625" style="1" customWidth="1"/>
    <col min="12820" max="12820" width="5.42578125" style="1" customWidth="1"/>
    <col min="12821" max="12822" width="5.140625" style="1" customWidth="1"/>
    <col min="12823" max="12823" width="5.42578125" style="1" customWidth="1"/>
    <col min="12824" max="12824" width="5.140625" style="1" customWidth="1"/>
    <col min="12825" max="12825" width="5" style="1" customWidth="1"/>
    <col min="12826" max="12826" width="5.42578125" style="1" customWidth="1"/>
    <col min="12827" max="12827" width="9.5703125" style="1" customWidth="1"/>
    <col min="12828" max="12828" width="6.85546875" style="1" customWidth="1"/>
    <col min="12829" max="12829" width="5.140625" style="1" customWidth="1"/>
    <col min="12830" max="12830" width="18.140625" style="1" customWidth="1"/>
    <col min="12831" max="12848" width="5.7109375" style="1" customWidth="1"/>
    <col min="12849" max="12849" width="7.5703125" style="1" customWidth="1"/>
    <col min="12850" max="12850" width="7.28515625" style="1" customWidth="1"/>
    <col min="12851" max="12852" width="5.7109375" style="1" customWidth="1"/>
    <col min="12853" max="12853" width="18.140625" style="1" customWidth="1"/>
    <col min="12854" max="12868" width="5.7109375" style="1" customWidth="1"/>
    <col min="12869" max="12869" width="6.42578125" style="1" customWidth="1"/>
    <col min="12870" max="12870" width="7.42578125" style="1" customWidth="1"/>
    <col min="12871" max="12883" width="5.7109375" style="1" customWidth="1"/>
    <col min="12884" max="12884" width="6.5703125" style="1" customWidth="1"/>
    <col min="12885" max="12885" width="7.5703125" style="1" customWidth="1"/>
    <col min="12886" max="12886" width="6.5703125" style="1" customWidth="1"/>
    <col min="12887" max="12887" width="18.28515625" style="1" customWidth="1"/>
    <col min="12888" max="13058" width="8.42578125" style="1"/>
    <col min="13059" max="13059" width="10.85546875" style="1" customWidth="1"/>
    <col min="13060" max="13060" width="18.5703125" style="1" customWidth="1"/>
    <col min="13061" max="13061" width="10" style="1" customWidth="1"/>
    <col min="13062" max="13062" width="10.28515625" style="1" customWidth="1"/>
    <col min="13063" max="13067" width="8.28515625" style="1" customWidth="1"/>
    <col min="13068" max="13068" width="10.28515625" style="1" customWidth="1"/>
    <col min="13069" max="13069" width="8.28515625" style="1" customWidth="1"/>
    <col min="13070" max="13070" width="18.28515625" style="1" customWidth="1"/>
    <col min="13071" max="13071" width="6" style="1" customWidth="1"/>
    <col min="13072" max="13073" width="5.42578125" style="1" customWidth="1"/>
    <col min="13074" max="13074" width="5.5703125" style="1" customWidth="1"/>
    <col min="13075" max="13075" width="5.140625" style="1" customWidth="1"/>
    <col min="13076" max="13076" width="5.42578125" style="1" customWidth="1"/>
    <col min="13077" max="13078" width="5.140625" style="1" customWidth="1"/>
    <col min="13079" max="13079" width="5.42578125" style="1" customWidth="1"/>
    <col min="13080" max="13080" width="5.140625" style="1" customWidth="1"/>
    <col min="13081" max="13081" width="5" style="1" customWidth="1"/>
    <col min="13082" max="13082" width="5.42578125" style="1" customWidth="1"/>
    <col min="13083" max="13083" width="9.5703125" style="1" customWidth="1"/>
    <col min="13084" max="13084" width="6.85546875" style="1" customWidth="1"/>
    <col min="13085" max="13085" width="5.140625" style="1" customWidth="1"/>
    <col min="13086" max="13086" width="18.140625" style="1" customWidth="1"/>
    <col min="13087" max="13104" width="5.7109375" style="1" customWidth="1"/>
    <col min="13105" max="13105" width="7.5703125" style="1" customWidth="1"/>
    <col min="13106" max="13106" width="7.28515625" style="1" customWidth="1"/>
    <col min="13107" max="13108" width="5.7109375" style="1" customWidth="1"/>
    <col min="13109" max="13109" width="18.140625" style="1" customWidth="1"/>
    <col min="13110" max="13124" width="5.7109375" style="1" customWidth="1"/>
    <col min="13125" max="13125" width="6.42578125" style="1" customWidth="1"/>
    <col min="13126" max="13126" width="7.42578125" style="1" customWidth="1"/>
    <col min="13127" max="13139" width="5.7109375" style="1" customWidth="1"/>
    <col min="13140" max="13140" width="6.5703125" style="1" customWidth="1"/>
    <col min="13141" max="13141" width="7.5703125" style="1" customWidth="1"/>
    <col min="13142" max="13142" width="6.5703125" style="1" customWidth="1"/>
    <col min="13143" max="13143" width="18.28515625" style="1" customWidth="1"/>
    <col min="13144" max="13314" width="8.42578125" style="1"/>
    <col min="13315" max="13315" width="10.85546875" style="1" customWidth="1"/>
    <col min="13316" max="13316" width="18.5703125" style="1" customWidth="1"/>
    <col min="13317" max="13317" width="10" style="1" customWidth="1"/>
    <col min="13318" max="13318" width="10.28515625" style="1" customWidth="1"/>
    <col min="13319" max="13323" width="8.28515625" style="1" customWidth="1"/>
    <col min="13324" max="13324" width="10.28515625" style="1" customWidth="1"/>
    <col min="13325" max="13325" width="8.28515625" style="1" customWidth="1"/>
    <col min="13326" max="13326" width="18.28515625" style="1" customWidth="1"/>
    <col min="13327" max="13327" width="6" style="1" customWidth="1"/>
    <col min="13328" max="13329" width="5.42578125" style="1" customWidth="1"/>
    <col min="13330" max="13330" width="5.5703125" style="1" customWidth="1"/>
    <col min="13331" max="13331" width="5.140625" style="1" customWidth="1"/>
    <col min="13332" max="13332" width="5.42578125" style="1" customWidth="1"/>
    <col min="13333" max="13334" width="5.140625" style="1" customWidth="1"/>
    <col min="13335" max="13335" width="5.42578125" style="1" customWidth="1"/>
    <col min="13336" max="13336" width="5.140625" style="1" customWidth="1"/>
    <col min="13337" max="13337" width="5" style="1" customWidth="1"/>
    <col min="13338" max="13338" width="5.42578125" style="1" customWidth="1"/>
    <col min="13339" max="13339" width="9.5703125" style="1" customWidth="1"/>
    <col min="13340" max="13340" width="6.85546875" style="1" customWidth="1"/>
    <col min="13341" max="13341" width="5.140625" style="1" customWidth="1"/>
    <col min="13342" max="13342" width="18.140625" style="1" customWidth="1"/>
    <col min="13343" max="13360" width="5.7109375" style="1" customWidth="1"/>
    <col min="13361" max="13361" width="7.5703125" style="1" customWidth="1"/>
    <col min="13362" max="13362" width="7.28515625" style="1" customWidth="1"/>
    <col min="13363" max="13364" width="5.7109375" style="1" customWidth="1"/>
    <col min="13365" max="13365" width="18.140625" style="1" customWidth="1"/>
    <col min="13366" max="13380" width="5.7109375" style="1" customWidth="1"/>
    <col min="13381" max="13381" width="6.42578125" style="1" customWidth="1"/>
    <col min="13382" max="13382" width="7.42578125" style="1" customWidth="1"/>
    <col min="13383" max="13395" width="5.7109375" style="1" customWidth="1"/>
    <col min="13396" max="13396" width="6.5703125" style="1" customWidth="1"/>
    <col min="13397" max="13397" width="7.5703125" style="1" customWidth="1"/>
    <col min="13398" max="13398" width="6.5703125" style="1" customWidth="1"/>
    <col min="13399" max="13399" width="18.28515625" style="1" customWidth="1"/>
    <col min="13400" max="13570" width="8.42578125" style="1"/>
    <col min="13571" max="13571" width="10.85546875" style="1" customWidth="1"/>
    <col min="13572" max="13572" width="18.5703125" style="1" customWidth="1"/>
    <col min="13573" max="13573" width="10" style="1" customWidth="1"/>
    <col min="13574" max="13574" width="10.28515625" style="1" customWidth="1"/>
    <col min="13575" max="13579" width="8.28515625" style="1" customWidth="1"/>
    <col min="13580" max="13580" width="10.28515625" style="1" customWidth="1"/>
    <col min="13581" max="13581" width="8.28515625" style="1" customWidth="1"/>
    <col min="13582" max="13582" width="18.28515625" style="1" customWidth="1"/>
    <col min="13583" max="13583" width="6" style="1" customWidth="1"/>
    <col min="13584" max="13585" width="5.42578125" style="1" customWidth="1"/>
    <col min="13586" max="13586" width="5.5703125" style="1" customWidth="1"/>
    <col min="13587" max="13587" width="5.140625" style="1" customWidth="1"/>
    <col min="13588" max="13588" width="5.42578125" style="1" customWidth="1"/>
    <col min="13589" max="13590" width="5.140625" style="1" customWidth="1"/>
    <col min="13591" max="13591" width="5.42578125" style="1" customWidth="1"/>
    <col min="13592" max="13592" width="5.140625" style="1" customWidth="1"/>
    <col min="13593" max="13593" width="5" style="1" customWidth="1"/>
    <col min="13594" max="13594" width="5.42578125" style="1" customWidth="1"/>
    <col min="13595" max="13595" width="9.5703125" style="1" customWidth="1"/>
    <col min="13596" max="13596" width="6.85546875" style="1" customWidth="1"/>
    <col min="13597" max="13597" width="5.140625" style="1" customWidth="1"/>
    <col min="13598" max="13598" width="18.140625" style="1" customWidth="1"/>
    <col min="13599" max="13616" width="5.7109375" style="1" customWidth="1"/>
    <col min="13617" max="13617" width="7.5703125" style="1" customWidth="1"/>
    <col min="13618" max="13618" width="7.28515625" style="1" customWidth="1"/>
    <col min="13619" max="13620" width="5.7109375" style="1" customWidth="1"/>
    <col min="13621" max="13621" width="18.140625" style="1" customWidth="1"/>
    <col min="13622" max="13636" width="5.7109375" style="1" customWidth="1"/>
    <col min="13637" max="13637" width="6.42578125" style="1" customWidth="1"/>
    <col min="13638" max="13638" width="7.42578125" style="1" customWidth="1"/>
    <col min="13639" max="13651" width="5.7109375" style="1" customWidth="1"/>
    <col min="13652" max="13652" width="6.5703125" style="1" customWidth="1"/>
    <col min="13653" max="13653" width="7.5703125" style="1" customWidth="1"/>
    <col min="13654" max="13654" width="6.5703125" style="1" customWidth="1"/>
    <col min="13655" max="13655" width="18.28515625" style="1" customWidth="1"/>
    <col min="13656" max="13826" width="8.42578125" style="1"/>
    <col min="13827" max="13827" width="10.85546875" style="1" customWidth="1"/>
    <col min="13828" max="13828" width="18.5703125" style="1" customWidth="1"/>
    <col min="13829" max="13829" width="10" style="1" customWidth="1"/>
    <col min="13830" max="13830" width="10.28515625" style="1" customWidth="1"/>
    <col min="13831" max="13835" width="8.28515625" style="1" customWidth="1"/>
    <col min="13836" max="13836" width="10.28515625" style="1" customWidth="1"/>
    <col min="13837" max="13837" width="8.28515625" style="1" customWidth="1"/>
    <col min="13838" max="13838" width="18.28515625" style="1" customWidth="1"/>
    <col min="13839" max="13839" width="6" style="1" customWidth="1"/>
    <col min="13840" max="13841" width="5.42578125" style="1" customWidth="1"/>
    <col min="13842" max="13842" width="5.5703125" style="1" customWidth="1"/>
    <col min="13843" max="13843" width="5.140625" style="1" customWidth="1"/>
    <col min="13844" max="13844" width="5.42578125" style="1" customWidth="1"/>
    <col min="13845" max="13846" width="5.140625" style="1" customWidth="1"/>
    <col min="13847" max="13847" width="5.42578125" style="1" customWidth="1"/>
    <col min="13848" max="13848" width="5.140625" style="1" customWidth="1"/>
    <col min="13849" max="13849" width="5" style="1" customWidth="1"/>
    <col min="13850" max="13850" width="5.42578125" style="1" customWidth="1"/>
    <col min="13851" max="13851" width="9.5703125" style="1" customWidth="1"/>
    <col min="13852" max="13852" width="6.85546875" style="1" customWidth="1"/>
    <col min="13853" max="13853" width="5.140625" style="1" customWidth="1"/>
    <col min="13854" max="13854" width="18.140625" style="1" customWidth="1"/>
    <col min="13855" max="13872" width="5.7109375" style="1" customWidth="1"/>
    <col min="13873" max="13873" width="7.5703125" style="1" customWidth="1"/>
    <col min="13874" max="13874" width="7.28515625" style="1" customWidth="1"/>
    <col min="13875" max="13876" width="5.7109375" style="1" customWidth="1"/>
    <col min="13877" max="13877" width="18.140625" style="1" customWidth="1"/>
    <col min="13878" max="13892" width="5.7109375" style="1" customWidth="1"/>
    <col min="13893" max="13893" width="6.42578125" style="1" customWidth="1"/>
    <col min="13894" max="13894" width="7.42578125" style="1" customWidth="1"/>
    <col min="13895" max="13907" width="5.7109375" style="1" customWidth="1"/>
    <col min="13908" max="13908" width="6.5703125" style="1" customWidth="1"/>
    <col min="13909" max="13909" width="7.5703125" style="1" customWidth="1"/>
    <col min="13910" max="13910" width="6.5703125" style="1" customWidth="1"/>
    <col min="13911" max="13911" width="18.28515625" style="1" customWidth="1"/>
    <col min="13912" max="14082" width="8.42578125" style="1"/>
    <col min="14083" max="14083" width="10.85546875" style="1" customWidth="1"/>
    <col min="14084" max="14084" width="18.5703125" style="1" customWidth="1"/>
    <col min="14085" max="14085" width="10" style="1" customWidth="1"/>
    <col min="14086" max="14086" width="10.28515625" style="1" customWidth="1"/>
    <col min="14087" max="14091" width="8.28515625" style="1" customWidth="1"/>
    <col min="14092" max="14092" width="10.28515625" style="1" customWidth="1"/>
    <col min="14093" max="14093" width="8.28515625" style="1" customWidth="1"/>
    <col min="14094" max="14094" width="18.28515625" style="1" customWidth="1"/>
    <col min="14095" max="14095" width="6" style="1" customWidth="1"/>
    <col min="14096" max="14097" width="5.42578125" style="1" customWidth="1"/>
    <col min="14098" max="14098" width="5.5703125" style="1" customWidth="1"/>
    <col min="14099" max="14099" width="5.140625" style="1" customWidth="1"/>
    <col min="14100" max="14100" width="5.42578125" style="1" customWidth="1"/>
    <col min="14101" max="14102" width="5.140625" style="1" customWidth="1"/>
    <col min="14103" max="14103" width="5.42578125" style="1" customWidth="1"/>
    <col min="14104" max="14104" width="5.140625" style="1" customWidth="1"/>
    <col min="14105" max="14105" width="5" style="1" customWidth="1"/>
    <col min="14106" max="14106" width="5.42578125" style="1" customWidth="1"/>
    <col min="14107" max="14107" width="9.5703125" style="1" customWidth="1"/>
    <col min="14108" max="14108" width="6.85546875" style="1" customWidth="1"/>
    <col min="14109" max="14109" width="5.140625" style="1" customWidth="1"/>
    <col min="14110" max="14110" width="18.140625" style="1" customWidth="1"/>
    <col min="14111" max="14128" width="5.7109375" style="1" customWidth="1"/>
    <col min="14129" max="14129" width="7.5703125" style="1" customWidth="1"/>
    <col min="14130" max="14130" width="7.28515625" style="1" customWidth="1"/>
    <col min="14131" max="14132" width="5.7109375" style="1" customWidth="1"/>
    <col min="14133" max="14133" width="18.140625" style="1" customWidth="1"/>
    <col min="14134" max="14148" width="5.7109375" style="1" customWidth="1"/>
    <col min="14149" max="14149" width="6.42578125" style="1" customWidth="1"/>
    <col min="14150" max="14150" width="7.42578125" style="1" customWidth="1"/>
    <col min="14151" max="14163" width="5.7109375" style="1" customWidth="1"/>
    <col min="14164" max="14164" width="6.5703125" style="1" customWidth="1"/>
    <col min="14165" max="14165" width="7.5703125" style="1" customWidth="1"/>
    <col min="14166" max="14166" width="6.5703125" style="1" customWidth="1"/>
    <col min="14167" max="14167" width="18.28515625" style="1" customWidth="1"/>
    <col min="14168" max="14338" width="8.42578125" style="1"/>
    <col min="14339" max="14339" width="10.85546875" style="1" customWidth="1"/>
    <col min="14340" max="14340" width="18.5703125" style="1" customWidth="1"/>
    <col min="14341" max="14341" width="10" style="1" customWidth="1"/>
    <col min="14342" max="14342" width="10.28515625" style="1" customWidth="1"/>
    <col min="14343" max="14347" width="8.28515625" style="1" customWidth="1"/>
    <col min="14348" max="14348" width="10.28515625" style="1" customWidth="1"/>
    <col min="14349" max="14349" width="8.28515625" style="1" customWidth="1"/>
    <col min="14350" max="14350" width="18.28515625" style="1" customWidth="1"/>
    <col min="14351" max="14351" width="6" style="1" customWidth="1"/>
    <col min="14352" max="14353" width="5.42578125" style="1" customWidth="1"/>
    <col min="14354" max="14354" width="5.5703125" style="1" customWidth="1"/>
    <col min="14355" max="14355" width="5.140625" style="1" customWidth="1"/>
    <col min="14356" max="14356" width="5.42578125" style="1" customWidth="1"/>
    <col min="14357" max="14358" width="5.140625" style="1" customWidth="1"/>
    <col min="14359" max="14359" width="5.42578125" style="1" customWidth="1"/>
    <col min="14360" max="14360" width="5.140625" style="1" customWidth="1"/>
    <col min="14361" max="14361" width="5" style="1" customWidth="1"/>
    <col min="14362" max="14362" width="5.42578125" style="1" customWidth="1"/>
    <col min="14363" max="14363" width="9.5703125" style="1" customWidth="1"/>
    <col min="14364" max="14364" width="6.85546875" style="1" customWidth="1"/>
    <col min="14365" max="14365" width="5.140625" style="1" customWidth="1"/>
    <col min="14366" max="14366" width="18.140625" style="1" customWidth="1"/>
    <col min="14367" max="14384" width="5.7109375" style="1" customWidth="1"/>
    <col min="14385" max="14385" width="7.5703125" style="1" customWidth="1"/>
    <col min="14386" max="14386" width="7.28515625" style="1" customWidth="1"/>
    <col min="14387" max="14388" width="5.7109375" style="1" customWidth="1"/>
    <col min="14389" max="14389" width="18.140625" style="1" customWidth="1"/>
    <col min="14390" max="14404" width="5.7109375" style="1" customWidth="1"/>
    <col min="14405" max="14405" width="6.42578125" style="1" customWidth="1"/>
    <col min="14406" max="14406" width="7.42578125" style="1" customWidth="1"/>
    <col min="14407" max="14419" width="5.7109375" style="1" customWidth="1"/>
    <col min="14420" max="14420" width="6.5703125" style="1" customWidth="1"/>
    <col min="14421" max="14421" width="7.5703125" style="1" customWidth="1"/>
    <col min="14422" max="14422" width="6.5703125" style="1" customWidth="1"/>
    <col min="14423" max="14423" width="18.28515625" style="1" customWidth="1"/>
    <col min="14424" max="14594" width="8.42578125" style="1"/>
    <col min="14595" max="14595" width="10.85546875" style="1" customWidth="1"/>
    <col min="14596" max="14596" width="18.5703125" style="1" customWidth="1"/>
    <col min="14597" max="14597" width="10" style="1" customWidth="1"/>
    <col min="14598" max="14598" width="10.28515625" style="1" customWidth="1"/>
    <col min="14599" max="14603" width="8.28515625" style="1" customWidth="1"/>
    <col min="14604" max="14604" width="10.28515625" style="1" customWidth="1"/>
    <col min="14605" max="14605" width="8.28515625" style="1" customWidth="1"/>
    <col min="14606" max="14606" width="18.28515625" style="1" customWidth="1"/>
    <col min="14607" max="14607" width="6" style="1" customWidth="1"/>
    <col min="14608" max="14609" width="5.42578125" style="1" customWidth="1"/>
    <col min="14610" max="14610" width="5.5703125" style="1" customWidth="1"/>
    <col min="14611" max="14611" width="5.140625" style="1" customWidth="1"/>
    <col min="14612" max="14612" width="5.42578125" style="1" customWidth="1"/>
    <col min="14613" max="14614" width="5.140625" style="1" customWidth="1"/>
    <col min="14615" max="14615" width="5.42578125" style="1" customWidth="1"/>
    <col min="14616" max="14616" width="5.140625" style="1" customWidth="1"/>
    <col min="14617" max="14617" width="5" style="1" customWidth="1"/>
    <col min="14618" max="14618" width="5.42578125" style="1" customWidth="1"/>
    <col min="14619" max="14619" width="9.5703125" style="1" customWidth="1"/>
    <col min="14620" max="14620" width="6.85546875" style="1" customWidth="1"/>
    <col min="14621" max="14621" width="5.140625" style="1" customWidth="1"/>
    <col min="14622" max="14622" width="18.140625" style="1" customWidth="1"/>
    <col min="14623" max="14640" width="5.7109375" style="1" customWidth="1"/>
    <col min="14641" max="14641" width="7.5703125" style="1" customWidth="1"/>
    <col min="14642" max="14642" width="7.28515625" style="1" customWidth="1"/>
    <col min="14643" max="14644" width="5.7109375" style="1" customWidth="1"/>
    <col min="14645" max="14645" width="18.140625" style="1" customWidth="1"/>
    <col min="14646" max="14660" width="5.7109375" style="1" customWidth="1"/>
    <col min="14661" max="14661" width="6.42578125" style="1" customWidth="1"/>
    <col min="14662" max="14662" width="7.42578125" style="1" customWidth="1"/>
    <col min="14663" max="14675" width="5.7109375" style="1" customWidth="1"/>
    <col min="14676" max="14676" width="6.5703125" style="1" customWidth="1"/>
    <col min="14677" max="14677" width="7.5703125" style="1" customWidth="1"/>
    <col min="14678" max="14678" width="6.5703125" style="1" customWidth="1"/>
    <col min="14679" max="14679" width="18.28515625" style="1" customWidth="1"/>
    <col min="14680" max="14850" width="8.42578125" style="1"/>
    <col min="14851" max="14851" width="10.85546875" style="1" customWidth="1"/>
    <col min="14852" max="14852" width="18.5703125" style="1" customWidth="1"/>
    <col min="14853" max="14853" width="10" style="1" customWidth="1"/>
    <col min="14854" max="14854" width="10.28515625" style="1" customWidth="1"/>
    <col min="14855" max="14859" width="8.28515625" style="1" customWidth="1"/>
    <col min="14860" max="14860" width="10.28515625" style="1" customWidth="1"/>
    <col min="14861" max="14861" width="8.28515625" style="1" customWidth="1"/>
    <col min="14862" max="14862" width="18.28515625" style="1" customWidth="1"/>
    <col min="14863" max="14863" width="6" style="1" customWidth="1"/>
    <col min="14864" max="14865" width="5.42578125" style="1" customWidth="1"/>
    <col min="14866" max="14866" width="5.5703125" style="1" customWidth="1"/>
    <col min="14867" max="14867" width="5.140625" style="1" customWidth="1"/>
    <col min="14868" max="14868" width="5.42578125" style="1" customWidth="1"/>
    <col min="14869" max="14870" width="5.140625" style="1" customWidth="1"/>
    <col min="14871" max="14871" width="5.42578125" style="1" customWidth="1"/>
    <col min="14872" max="14872" width="5.140625" style="1" customWidth="1"/>
    <col min="14873" max="14873" width="5" style="1" customWidth="1"/>
    <col min="14874" max="14874" width="5.42578125" style="1" customWidth="1"/>
    <col min="14875" max="14875" width="9.5703125" style="1" customWidth="1"/>
    <col min="14876" max="14876" width="6.85546875" style="1" customWidth="1"/>
    <col min="14877" max="14877" width="5.140625" style="1" customWidth="1"/>
    <col min="14878" max="14878" width="18.140625" style="1" customWidth="1"/>
    <col min="14879" max="14896" width="5.7109375" style="1" customWidth="1"/>
    <col min="14897" max="14897" width="7.5703125" style="1" customWidth="1"/>
    <col min="14898" max="14898" width="7.28515625" style="1" customWidth="1"/>
    <col min="14899" max="14900" width="5.7109375" style="1" customWidth="1"/>
    <col min="14901" max="14901" width="18.140625" style="1" customWidth="1"/>
    <col min="14902" max="14916" width="5.7109375" style="1" customWidth="1"/>
    <col min="14917" max="14917" width="6.42578125" style="1" customWidth="1"/>
    <col min="14918" max="14918" width="7.42578125" style="1" customWidth="1"/>
    <col min="14919" max="14931" width="5.7109375" style="1" customWidth="1"/>
    <col min="14932" max="14932" width="6.5703125" style="1" customWidth="1"/>
    <col min="14933" max="14933" width="7.5703125" style="1" customWidth="1"/>
    <col min="14934" max="14934" width="6.5703125" style="1" customWidth="1"/>
    <col min="14935" max="14935" width="18.28515625" style="1" customWidth="1"/>
    <col min="14936" max="15106" width="8.42578125" style="1"/>
    <col min="15107" max="15107" width="10.85546875" style="1" customWidth="1"/>
    <col min="15108" max="15108" width="18.5703125" style="1" customWidth="1"/>
    <col min="15109" max="15109" width="10" style="1" customWidth="1"/>
    <col min="15110" max="15110" width="10.28515625" style="1" customWidth="1"/>
    <col min="15111" max="15115" width="8.28515625" style="1" customWidth="1"/>
    <col min="15116" max="15116" width="10.28515625" style="1" customWidth="1"/>
    <col min="15117" max="15117" width="8.28515625" style="1" customWidth="1"/>
    <col min="15118" max="15118" width="18.28515625" style="1" customWidth="1"/>
    <col min="15119" max="15119" width="6" style="1" customWidth="1"/>
    <col min="15120" max="15121" width="5.42578125" style="1" customWidth="1"/>
    <col min="15122" max="15122" width="5.5703125" style="1" customWidth="1"/>
    <col min="15123" max="15123" width="5.140625" style="1" customWidth="1"/>
    <col min="15124" max="15124" width="5.42578125" style="1" customWidth="1"/>
    <col min="15125" max="15126" width="5.140625" style="1" customWidth="1"/>
    <col min="15127" max="15127" width="5.42578125" style="1" customWidth="1"/>
    <col min="15128" max="15128" width="5.140625" style="1" customWidth="1"/>
    <col min="15129" max="15129" width="5" style="1" customWidth="1"/>
    <col min="15130" max="15130" width="5.42578125" style="1" customWidth="1"/>
    <col min="15131" max="15131" width="9.5703125" style="1" customWidth="1"/>
    <col min="15132" max="15132" width="6.85546875" style="1" customWidth="1"/>
    <col min="15133" max="15133" width="5.140625" style="1" customWidth="1"/>
    <col min="15134" max="15134" width="18.140625" style="1" customWidth="1"/>
    <col min="15135" max="15152" width="5.7109375" style="1" customWidth="1"/>
    <col min="15153" max="15153" width="7.5703125" style="1" customWidth="1"/>
    <col min="15154" max="15154" width="7.28515625" style="1" customWidth="1"/>
    <col min="15155" max="15156" width="5.7109375" style="1" customWidth="1"/>
    <col min="15157" max="15157" width="18.140625" style="1" customWidth="1"/>
    <col min="15158" max="15172" width="5.7109375" style="1" customWidth="1"/>
    <col min="15173" max="15173" width="6.42578125" style="1" customWidth="1"/>
    <col min="15174" max="15174" width="7.42578125" style="1" customWidth="1"/>
    <col min="15175" max="15187" width="5.7109375" style="1" customWidth="1"/>
    <col min="15188" max="15188" width="6.5703125" style="1" customWidth="1"/>
    <col min="15189" max="15189" width="7.5703125" style="1" customWidth="1"/>
    <col min="15190" max="15190" width="6.5703125" style="1" customWidth="1"/>
    <col min="15191" max="15191" width="18.28515625" style="1" customWidth="1"/>
    <col min="15192" max="15362" width="8.42578125" style="1"/>
    <col min="15363" max="15363" width="10.85546875" style="1" customWidth="1"/>
    <col min="15364" max="15364" width="18.5703125" style="1" customWidth="1"/>
    <col min="15365" max="15365" width="10" style="1" customWidth="1"/>
    <col min="15366" max="15366" width="10.28515625" style="1" customWidth="1"/>
    <col min="15367" max="15371" width="8.28515625" style="1" customWidth="1"/>
    <col min="15372" max="15372" width="10.28515625" style="1" customWidth="1"/>
    <col min="15373" max="15373" width="8.28515625" style="1" customWidth="1"/>
    <col min="15374" max="15374" width="18.28515625" style="1" customWidth="1"/>
    <col min="15375" max="15375" width="6" style="1" customWidth="1"/>
    <col min="15376" max="15377" width="5.42578125" style="1" customWidth="1"/>
    <col min="15378" max="15378" width="5.5703125" style="1" customWidth="1"/>
    <col min="15379" max="15379" width="5.140625" style="1" customWidth="1"/>
    <col min="15380" max="15380" width="5.42578125" style="1" customWidth="1"/>
    <col min="15381" max="15382" width="5.140625" style="1" customWidth="1"/>
    <col min="15383" max="15383" width="5.42578125" style="1" customWidth="1"/>
    <col min="15384" max="15384" width="5.140625" style="1" customWidth="1"/>
    <col min="15385" max="15385" width="5" style="1" customWidth="1"/>
    <col min="15386" max="15386" width="5.42578125" style="1" customWidth="1"/>
    <col min="15387" max="15387" width="9.5703125" style="1" customWidth="1"/>
    <col min="15388" max="15388" width="6.85546875" style="1" customWidth="1"/>
    <col min="15389" max="15389" width="5.140625" style="1" customWidth="1"/>
    <col min="15390" max="15390" width="18.140625" style="1" customWidth="1"/>
    <col min="15391" max="15408" width="5.7109375" style="1" customWidth="1"/>
    <col min="15409" max="15409" width="7.5703125" style="1" customWidth="1"/>
    <col min="15410" max="15410" width="7.28515625" style="1" customWidth="1"/>
    <col min="15411" max="15412" width="5.7109375" style="1" customWidth="1"/>
    <col min="15413" max="15413" width="18.140625" style="1" customWidth="1"/>
    <col min="15414" max="15428" width="5.7109375" style="1" customWidth="1"/>
    <col min="15429" max="15429" width="6.42578125" style="1" customWidth="1"/>
    <col min="15430" max="15430" width="7.42578125" style="1" customWidth="1"/>
    <col min="15431" max="15443" width="5.7109375" style="1" customWidth="1"/>
    <col min="15444" max="15444" width="6.5703125" style="1" customWidth="1"/>
    <col min="15445" max="15445" width="7.5703125" style="1" customWidth="1"/>
    <col min="15446" max="15446" width="6.5703125" style="1" customWidth="1"/>
    <col min="15447" max="15447" width="18.28515625" style="1" customWidth="1"/>
    <col min="15448" max="15618" width="8.42578125" style="1"/>
    <col min="15619" max="15619" width="10.85546875" style="1" customWidth="1"/>
    <col min="15620" max="15620" width="18.5703125" style="1" customWidth="1"/>
    <col min="15621" max="15621" width="10" style="1" customWidth="1"/>
    <col min="15622" max="15622" width="10.28515625" style="1" customWidth="1"/>
    <col min="15623" max="15627" width="8.28515625" style="1" customWidth="1"/>
    <col min="15628" max="15628" width="10.28515625" style="1" customWidth="1"/>
    <col min="15629" max="15629" width="8.28515625" style="1" customWidth="1"/>
    <col min="15630" max="15630" width="18.28515625" style="1" customWidth="1"/>
    <col min="15631" max="15631" width="6" style="1" customWidth="1"/>
    <col min="15632" max="15633" width="5.42578125" style="1" customWidth="1"/>
    <col min="15634" max="15634" width="5.5703125" style="1" customWidth="1"/>
    <col min="15635" max="15635" width="5.140625" style="1" customWidth="1"/>
    <col min="15636" max="15636" width="5.42578125" style="1" customWidth="1"/>
    <col min="15637" max="15638" width="5.140625" style="1" customWidth="1"/>
    <col min="15639" max="15639" width="5.42578125" style="1" customWidth="1"/>
    <col min="15640" max="15640" width="5.140625" style="1" customWidth="1"/>
    <col min="15641" max="15641" width="5" style="1" customWidth="1"/>
    <col min="15642" max="15642" width="5.42578125" style="1" customWidth="1"/>
    <col min="15643" max="15643" width="9.5703125" style="1" customWidth="1"/>
    <col min="15644" max="15644" width="6.85546875" style="1" customWidth="1"/>
    <col min="15645" max="15645" width="5.140625" style="1" customWidth="1"/>
    <col min="15646" max="15646" width="18.140625" style="1" customWidth="1"/>
    <col min="15647" max="15664" width="5.7109375" style="1" customWidth="1"/>
    <col min="15665" max="15665" width="7.5703125" style="1" customWidth="1"/>
    <col min="15666" max="15666" width="7.28515625" style="1" customWidth="1"/>
    <col min="15667" max="15668" width="5.7109375" style="1" customWidth="1"/>
    <col min="15669" max="15669" width="18.140625" style="1" customWidth="1"/>
    <col min="15670" max="15684" width="5.7109375" style="1" customWidth="1"/>
    <col min="15685" max="15685" width="6.42578125" style="1" customWidth="1"/>
    <col min="15686" max="15686" width="7.42578125" style="1" customWidth="1"/>
    <col min="15687" max="15699" width="5.7109375" style="1" customWidth="1"/>
    <col min="15700" max="15700" width="6.5703125" style="1" customWidth="1"/>
    <col min="15701" max="15701" width="7.5703125" style="1" customWidth="1"/>
    <col min="15702" max="15702" width="6.5703125" style="1" customWidth="1"/>
    <col min="15703" max="15703" width="18.28515625" style="1" customWidth="1"/>
    <col min="15704" max="15874" width="8.42578125" style="1"/>
    <col min="15875" max="15875" width="10.85546875" style="1" customWidth="1"/>
    <col min="15876" max="15876" width="18.5703125" style="1" customWidth="1"/>
    <col min="15877" max="15877" width="10" style="1" customWidth="1"/>
    <col min="15878" max="15878" width="10.28515625" style="1" customWidth="1"/>
    <col min="15879" max="15883" width="8.28515625" style="1" customWidth="1"/>
    <col min="15884" max="15884" width="10.28515625" style="1" customWidth="1"/>
    <col min="15885" max="15885" width="8.28515625" style="1" customWidth="1"/>
    <col min="15886" max="15886" width="18.28515625" style="1" customWidth="1"/>
    <col min="15887" max="15887" width="6" style="1" customWidth="1"/>
    <col min="15888" max="15889" width="5.42578125" style="1" customWidth="1"/>
    <col min="15890" max="15890" width="5.5703125" style="1" customWidth="1"/>
    <col min="15891" max="15891" width="5.140625" style="1" customWidth="1"/>
    <col min="15892" max="15892" width="5.42578125" style="1" customWidth="1"/>
    <col min="15893" max="15894" width="5.140625" style="1" customWidth="1"/>
    <col min="15895" max="15895" width="5.42578125" style="1" customWidth="1"/>
    <col min="15896" max="15896" width="5.140625" style="1" customWidth="1"/>
    <col min="15897" max="15897" width="5" style="1" customWidth="1"/>
    <col min="15898" max="15898" width="5.42578125" style="1" customWidth="1"/>
    <col min="15899" max="15899" width="9.5703125" style="1" customWidth="1"/>
    <col min="15900" max="15900" width="6.85546875" style="1" customWidth="1"/>
    <col min="15901" max="15901" width="5.140625" style="1" customWidth="1"/>
    <col min="15902" max="15902" width="18.140625" style="1" customWidth="1"/>
    <col min="15903" max="15920" width="5.7109375" style="1" customWidth="1"/>
    <col min="15921" max="15921" width="7.5703125" style="1" customWidth="1"/>
    <col min="15922" max="15922" width="7.28515625" style="1" customWidth="1"/>
    <col min="15923" max="15924" width="5.7109375" style="1" customWidth="1"/>
    <col min="15925" max="15925" width="18.140625" style="1" customWidth="1"/>
    <col min="15926" max="15940" width="5.7109375" style="1" customWidth="1"/>
    <col min="15941" max="15941" width="6.42578125" style="1" customWidth="1"/>
    <col min="15942" max="15942" width="7.42578125" style="1" customWidth="1"/>
    <col min="15943" max="15955" width="5.7109375" style="1" customWidth="1"/>
    <col min="15956" max="15956" width="6.5703125" style="1" customWidth="1"/>
    <col min="15957" max="15957" width="7.5703125" style="1" customWidth="1"/>
    <col min="15958" max="15958" width="6.5703125" style="1" customWidth="1"/>
    <col min="15959" max="15959" width="18.28515625" style="1" customWidth="1"/>
    <col min="15960" max="16130" width="8.42578125" style="1"/>
    <col min="16131" max="16131" width="10.85546875" style="1" customWidth="1"/>
    <col min="16132" max="16132" width="18.5703125" style="1" customWidth="1"/>
    <col min="16133" max="16133" width="10" style="1" customWidth="1"/>
    <col min="16134" max="16134" width="10.28515625" style="1" customWidth="1"/>
    <col min="16135" max="16139" width="8.28515625" style="1" customWidth="1"/>
    <col min="16140" max="16140" width="10.28515625" style="1" customWidth="1"/>
    <col min="16141" max="16141" width="8.28515625" style="1" customWidth="1"/>
    <col min="16142" max="16142" width="18.28515625" style="1" customWidth="1"/>
    <col min="16143" max="16143" width="6" style="1" customWidth="1"/>
    <col min="16144" max="16145" width="5.42578125" style="1" customWidth="1"/>
    <col min="16146" max="16146" width="5.5703125" style="1" customWidth="1"/>
    <col min="16147" max="16147" width="5.140625" style="1" customWidth="1"/>
    <col min="16148" max="16148" width="5.42578125" style="1" customWidth="1"/>
    <col min="16149" max="16150" width="5.140625" style="1" customWidth="1"/>
    <col min="16151" max="16151" width="5.42578125" style="1" customWidth="1"/>
    <col min="16152" max="16152" width="5.140625" style="1" customWidth="1"/>
    <col min="16153" max="16153" width="5" style="1" customWidth="1"/>
    <col min="16154" max="16154" width="5.42578125" style="1" customWidth="1"/>
    <col min="16155" max="16155" width="9.5703125" style="1" customWidth="1"/>
    <col min="16156" max="16156" width="6.85546875" style="1" customWidth="1"/>
    <col min="16157" max="16157" width="5.140625" style="1" customWidth="1"/>
    <col min="16158" max="16158" width="18.140625" style="1" customWidth="1"/>
    <col min="16159" max="16176" width="5.7109375" style="1" customWidth="1"/>
    <col min="16177" max="16177" width="7.5703125" style="1" customWidth="1"/>
    <col min="16178" max="16178" width="7.28515625" style="1" customWidth="1"/>
    <col min="16179" max="16180" width="5.7109375" style="1" customWidth="1"/>
    <col min="16181" max="16181" width="18.140625" style="1" customWidth="1"/>
    <col min="16182" max="16196" width="5.7109375" style="1" customWidth="1"/>
    <col min="16197" max="16197" width="6.42578125" style="1" customWidth="1"/>
    <col min="16198" max="16198" width="7.42578125" style="1" customWidth="1"/>
    <col min="16199" max="16211" width="5.7109375" style="1" customWidth="1"/>
    <col min="16212" max="16212" width="6.5703125" style="1" customWidth="1"/>
    <col min="16213" max="16213" width="7.5703125" style="1" customWidth="1"/>
    <col min="16214" max="16214" width="6.5703125" style="1" customWidth="1"/>
    <col min="16215" max="16215" width="18.28515625" style="1" customWidth="1"/>
    <col min="16216" max="16384" width="8.42578125" style="1"/>
  </cols>
  <sheetData>
    <row r="1" spans="1:87">
      <c r="B1" s="370" t="s">
        <v>391</v>
      </c>
      <c r="C1" s="370"/>
      <c r="D1" s="370"/>
      <c r="E1" s="370"/>
      <c r="F1" s="370"/>
      <c r="G1" s="370"/>
      <c r="H1" s="370"/>
      <c r="I1" s="370"/>
      <c r="J1" s="370"/>
      <c r="K1" s="370"/>
      <c r="L1" s="364" t="s">
        <v>232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 t="s">
        <v>393</v>
      </c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364"/>
      <c r="AO1" s="364"/>
      <c r="AP1" s="364"/>
      <c r="AQ1" s="364"/>
      <c r="AR1" s="364"/>
      <c r="AS1" s="364"/>
      <c r="AT1" s="364"/>
      <c r="AU1" s="364"/>
      <c r="AV1" s="364"/>
      <c r="AW1" s="364"/>
      <c r="AX1" s="364"/>
      <c r="AY1" s="235" t="s">
        <v>233</v>
      </c>
      <c r="AZ1" s="105" t="s">
        <v>71</v>
      </c>
      <c r="BA1" s="105"/>
      <c r="BB1" s="105"/>
      <c r="BC1" s="105"/>
      <c r="BD1" s="105"/>
      <c r="BE1" s="62"/>
      <c r="BF1" s="105" t="s">
        <v>70</v>
      </c>
      <c r="BG1" s="105"/>
      <c r="BH1" s="105"/>
      <c r="BI1" s="105"/>
      <c r="BJ1" s="105"/>
      <c r="BK1" s="105"/>
      <c r="BL1" s="105"/>
      <c r="BM1" s="105"/>
      <c r="BN1" s="62"/>
      <c r="BO1" s="63"/>
      <c r="BP1" s="63"/>
      <c r="BQ1" s="62"/>
      <c r="BR1" s="63"/>
      <c r="BS1" s="376" t="s">
        <v>392</v>
      </c>
      <c r="BT1" s="364"/>
      <c r="BU1" s="364"/>
      <c r="BV1" s="364"/>
      <c r="BW1" s="364"/>
      <c r="BX1" s="364"/>
      <c r="BY1" s="364"/>
      <c r="BZ1" s="364"/>
      <c r="CA1" s="364"/>
      <c r="CB1" s="364"/>
      <c r="CC1" s="364"/>
      <c r="CD1" s="364"/>
      <c r="CE1" s="364"/>
      <c r="CF1" s="364"/>
      <c r="CG1" s="364"/>
      <c r="CH1" s="364"/>
      <c r="CI1" s="377"/>
    </row>
    <row r="2" spans="1:87">
      <c r="A2" s="3" t="s">
        <v>68</v>
      </c>
      <c r="B2" s="62" t="s">
        <v>34</v>
      </c>
      <c r="C2" s="108" t="s">
        <v>67</v>
      </c>
      <c r="D2" s="108" t="s">
        <v>201</v>
      </c>
      <c r="E2" s="89" t="s">
        <v>65</v>
      </c>
      <c r="F2" s="89" t="s">
        <v>64</v>
      </c>
      <c r="G2" s="89" t="s">
        <v>63</v>
      </c>
      <c r="H2" s="89" t="s">
        <v>62</v>
      </c>
      <c r="I2" s="89" t="s">
        <v>61</v>
      </c>
      <c r="J2" s="89" t="s">
        <v>60</v>
      </c>
      <c r="K2" s="89" t="s">
        <v>59</v>
      </c>
      <c r="L2" s="62" t="s">
        <v>34</v>
      </c>
      <c r="M2" s="93" t="s">
        <v>58</v>
      </c>
      <c r="N2" s="109"/>
      <c r="O2" s="83"/>
      <c r="P2" s="93" t="s">
        <v>57</v>
      </c>
      <c r="Q2" s="109"/>
      <c r="R2" s="83"/>
      <c r="S2" s="93" t="s">
        <v>202</v>
      </c>
      <c r="T2" s="109"/>
      <c r="U2" s="83"/>
      <c r="V2" s="93" t="s">
        <v>181</v>
      </c>
      <c r="W2" s="109"/>
      <c r="X2" s="83"/>
      <c r="Y2" s="45" t="s">
        <v>35</v>
      </c>
      <c r="Z2" s="45" t="s">
        <v>36</v>
      </c>
      <c r="AA2" s="87"/>
      <c r="AB2" s="32" t="s">
        <v>34</v>
      </c>
      <c r="AC2" s="93" t="s">
        <v>182</v>
      </c>
      <c r="AD2" s="109"/>
      <c r="AE2" s="83"/>
      <c r="AF2" s="93" t="s">
        <v>203</v>
      </c>
      <c r="AG2" s="109"/>
      <c r="AH2" s="83"/>
      <c r="AI2" s="93" t="s">
        <v>104</v>
      </c>
      <c r="AJ2" s="109"/>
      <c r="AK2" s="83"/>
      <c r="AL2" s="93" t="s">
        <v>204</v>
      </c>
      <c r="AM2" s="109"/>
      <c r="AN2" s="83"/>
      <c r="AO2" s="93" t="s">
        <v>205</v>
      </c>
      <c r="AP2" s="109"/>
      <c r="AQ2" s="83"/>
      <c r="AR2" s="93" t="s">
        <v>107</v>
      </c>
      <c r="AS2" s="109"/>
      <c r="AT2" s="83"/>
      <c r="AU2" s="62" t="s">
        <v>35</v>
      </c>
      <c r="AV2" s="45" t="s">
        <v>36</v>
      </c>
      <c r="AW2" s="45" t="s">
        <v>47</v>
      </c>
      <c r="AX2" s="45"/>
      <c r="AY2" s="32" t="s">
        <v>34</v>
      </c>
      <c r="AZ2" s="135" t="s">
        <v>46</v>
      </c>
      <c r="BA2" s="85"/>
      <c r="BB2" s="84"/>
      <c r="BC2" s="135" t="s">
        <v>108</v>
      </c>
      <c r="BD2" s="85"/>
      <c r="BE2" s="84"/>
      <c r="BF2" s="135" t="s">
        <v>44</v>
      </c>
      <c r="BG2" s="85"/>
      <c r="BH2" s="84"/>
      <c r="BI2" s="135" t="s">
        <v>145</v>
      </c>
      <c r="BJ2" s="85"/>
      <c r="BK2" s="84"/>
      <c r="BL2" s="135" t="s">
        <v>42</v>
      </c>
      <c r="BM2" s="85"/>
      <c r="BN2" s="84"/>
      <c r="BO2" s="45" t="s">
        <v>35</v>
      </c>
      <c r="BP2" s="45" t="s">
        <v>36</v>
      </c>
      <c r="BQ2" s="45" t="s">
        <v>41</v>
      </c>
      <c r="BR2" s="87"/>
      <c r="BS2" s="86" t="s">
        <v>40</v>
      </c>
      <c r="BT2" s="85"/>
      <c r="BU2" s="84"/>
      <c r="BV2" s="86" t="s">
        <v>206</v>
      </c>
      <c r="BW2" s="85"/>
      <c r="BX2" s="84"/>
      <c r="BY2" s="86" t="s">
        <v>146</v>
      </c>
      <c r="BZ2" s="85"/>
      <c r="CA2" s="84"/>
      <c r="CB2" s="86" t="s">
        <v>147</v>
      </c>
      <c r="CC2" s="85"/>
      <c r="CD2" s="84"/>
      <c r="CE2" s="45" t="s">
        <v>35</v>
      </c>
      <c r="CF2" s="45" t="s">
        <v>36</v>
      </c>
      <c r="CG2" s="45" t="s">
        <v>35</v>
      </c>
      <c r="CH2" s="45"/>
      <c r="CI2" s="32" t="s">
        <v>34</v>
      </c>
    </row>
    <row r="3" spans="1:87">
      <c r="A3" s="3"/>
      <c r="B3" s="32" t="s">
        <v>234</v>
      </c>
      <c r="C3" s="150">
        <v>34037</v>
      </c>
      <c r="D3" s="47" t="s">
        <v>19</v>
      </c>
      <c r="E3" s="32">
        <v>177</v>
      </c>
      <c r="F3" s="32">
        <v>73</v>
      </c>
      <c r="G3" s="32">
        <v>89</v>
      </c>
      <c r="H3" s="136">
        <v>1.139</v>
      </c>
      <c r="I3" s="151">
        <f>F3/(E3/100)^2</f>
        <v>23.301094832264035</v>
      </c>
      <c r="J3" s="10" t="s">
        <v>21</v>
      </c>
      <c r="K3" s="32">
        <f>((E3-F3)*E3)/(H3*2*G3)</f>
        <v>90.795197837645873</v>
      </c>
      <c r="L3" s="32" t="s">
        <v>234</v>
      </c>
      <c r="M3" s="32">
        <v>237</v>
      </c>
      <c r="N3" s="40">
        <v>20</v>
      </c>
      <c r="O3" s="30">
        <f>IF(M3=0,"",IF(M3&lt;190,2,IF(AND(M3&gt;=190,M3&lt;195),3,IF(AND(M3&gt;=195,M3&lt;200),4,IF(AND(M3&gt;=200),5)))))</f>
        <v>5</v>
      </c>
      <c r="P3" s="32">
        <v>3.9</v>
      </c>
      <c r="Q3" s="40">
        <v>20</v>
      </c>
      <c r="R3" s="30">
        <f>IF(P3=0,"",IF(P3&gt;5.5,2,IF(AND(P3&lt;=5.5,P3&gt;5),3,IF(AND(P3&lt;=5,P3&gt;4.5),4,IF(AND(P3&lt;=4.5),5)))))</f>
        <v>5</v>
      </c>
      <c r="S3" s="32">
        <v>9.4</v>
      </c>
      <c r="T3" s="40">
        <v>16</v>
      </c>
      <c r="U3" s="30">
        <f>IF(S3=0,"",IF(S3&gt;10.5,2,IF(AND(S3&lt;=10.5,S3&gt;10.2),3,IF(AND(S3&lt;=10.2,S3&gt;9.9),4,IF(AND(S3&lt;=9.9),5)))))</f>
        <v>5</v>
      </c>
      <c r="V3" s="32">
        <v>1650</v>
      </c>
      <c r="W3" s="40">
        <v>20</v>
      </c>
      <c r="X3" s="30">
        <f>IF(V3=0,"",IF(V3&lt;1190,2,IF(AND(V3&gt;=1190,V3&lt;1290),3,IF(AND(V3&gt;=1290,V3&lt;1400),4,IF(AND(V3&gt;=1400),5)))))</f>
        <v>5</v>
      </c>
      <c r="Y3" s="40">
        <f>SUM(N3,Q3,T3,W3)</f>
        <v>76</v>
      </c>
      <c r="Z3" s="30">
        <f>IF(Y3=0,"",IF(Y3&lt;4,2,IF(AND(Y3&gt;=4,Y3&lt;16),3,IF(AND(Y3&gt;=16,Y3&lt;30),4,IF(AND(Y3&gt;=30),5)))))</f>
        <v>5</v>
      </c>
      <c r="AA3" s="223">
        <v>5</v>
      </c>
      <c r="AB3" s="32" t="s">
        <v>234</v>
      </c>
      <c r="AC3" s="32">
        <v>61</v>
      </c>
      <c r="AD3" s="40">
        <v>20</v>
      </c>
      <c r="AE3" s="30">
        <f>IF(AC3=0,"",IF(AC3&lt;35,2,IF(AND(AC3&gt;=35,AC3&lt;43),3,IF(AND(AC3&gt;=43,AC3&lt;50),4,IF(AND(AC3&gt;=50),5)))))</f>
        <v>5</v>
      </c>
      <c r="AF3" s="45">
        <v>11</v>
      </c>
      <c r="AG3" s="66">
        <v>10</v>
      </c>
      <c r="AH3" s="30">
        <f>IF(AF3=0,"",IF(AF3&lt;6,2,IF(AND(AF3&gt;=6,AF3&lt;9),3,IF(AND(AF3&gt;=9,AF3&lt;11),4,IF(AND(AF3&gt;=11),5)))))</f>
        <v>5</v>
      </c>
      <c r="AI3" s="45">
        <v>135</v>
      </c>
      <c r="AJ3" s="66">
        <v>11</v>
      </c>
      <c r="AK3" s="30">
        <f>IF(AI3=0,"",IF(AI3&lt;110,2,IF(AND(AI3&gt;=110,AI3&lt;120),3,IF(AND(AI3&gt;=120,AI3&lt;130),4,IF(AND(AI3&gt;=130),5)))))</f>
        <v>5</v>
      </c>
      <c r="AL3" s="45">
        <v>8</v>
      </c>
      <c r="AM3" s="66">
        <v>5</v>
      </c>
      <c r="AN3" s="30">
        <f>IF(AL3=0,"",IF(AL3&lt;7,2,IF(AND(AL3&gt;=7,AL3&lt;8),3,IF(AND(AL3&gt;=8,AL3&lt;10),4,IF(AND(AL3&gt;=10),5)))))</f>
        <v>4</v>
      </c>
      <c r="AO3" s="45">
        <v>14</v>
      </c>
      <c r="AP3" s="66">
        <v>14</v>
      </c>
      <c r="AQ3" s="30">
        <f>IF(AO3=0,"",IF(AO3&lt;1,2,IF(AND(AO3&gt;=1,AO3&lt;5),3,IF(AND(AO3&gt;=5,AO3&lt;10),4,IF(AND(AO3&gt;=10),5)))))</f>
        <v>5</v>
      </c>
      <c r="AR3" s="45">
        <v>10</v>
      </c>
      <c r="AS3" s="66">
        <v>10</v>
      </c>
      <c r="AT3" s="30">
        <f>IF(AR3=0,"",IF(AR3&lt;1,2,IF(AND(AR3&gt;=1,AR3&lt;5),3,IF(AND(AR3&gt;=5,AR3&lt;10),4,IF(AND(AR3&gt;=10),5)))))</f>
        <v>5</v>
      </c>
      <c r="AU3" s="40">
        <f>SUM(AD3,AG3,AJ3,AM3,AP3,AS3)</f>
        <v>70</v>
      </c>
      <c r="AV3" s="30">
        <f>IF(AU3=0,"",IF(AU3&lt;6,2,IF(AND(AU3&gt;=6,AU3&lt;20),3,IF(AND(AU3&gt;=20,AU3&lt;46),4,IF(AND(AU3&gt;=46),5)))))</f>
        <v>5</v>
      </c>
      <c r="AW3" s="40">
        <f>SUM(Y3,AU3)</f>
        <v>146</v>
      </c>
      <c r="AX3" s="41"/>
      <c r="AY3" s="32" t="s">
        <v>234</v>
      </c>
      <c r="AZ3" s="31">
        <v>9.23</v>
      </c>
      <c r="BA3" s="344">
        <v>5</v>
      </c>
      <c r="BB3" s="30">
        <v>4</v>
      </c>
      <c r="BC3" s="31">
        <v>18.02</v>
      </c>
      <c r="BD3" s="344">
        <v>5</v>
      </c>
      <c r="BE3" s="30">
        <v>4</v>
      </c>
      <c r="BF3" s="31">
        <v>20</v>
      </c>
      <c r="BG3" s="344">
        <v>20</v>
      </c>
      <c r="BH3" s="30">
        <f>IF(BF3=0,"",IF(BF3&lt;6,2,IF(AND(BF3&gt;=6,BF3&lt;8),3,IF(AND(BF3&gt;=8,BF3&lt;10),4,IF(AND(BF3&gt;=10),5)))))</f>
        <v>5</v>
      </c>
      <c r="BI3" s="31">
        <v>10.700000000000001</v>
      </c>
      <c r="BJ3" s="344">
        <v>17</v>
      </c>
      <c r="BK3" s="30">
        <f>IF(BI3=0,"",IF(BI3&gt;14.2,2,IF(AND(BI3&lt;=14.2,BI3&gt;13),3,IF(AND(BI3&lt;=13,BI3&gt;12),4,IF(AND(BI3&lt;=12),5)))))</f>
        <v>5</v>
      </c>
      <c r="BL3" s="31">
        <v>9</v>
      </c>
      <c r="BM3" s="344">
        <v>18</v>
      </c>
      <c r="BN3" s="30">
        <f>IF(BL3=0,"",IF(BL3&lt;4,2,IF(AND(BL3&gt;=4,BL3&lt;6),3,IF(AND(BL3&gt;=6,BL3&lt;8),4,IF(AND(BL3&gt;=8),5)))))</f>
        <v>5</v>
      </c>
      <c r="BO3" s="40">
        <f>SUM(BA3,BD3,BG3,BJ3,BM3)</f>
        <v>65</v>
      </c>
      <c r="BP3" s="30">
        <f>IF(BO3=0,"",IF(BO3&lt;5,2,IF(AND(BO3&gt;=5,BO3&lt;17),3,IF(AND(BO3&gt;=17,BO3&lt;40),4,IF(AND(BO3&gt;=40),5)))))</f>
        <v>5</v>
      </c>
      <c r="BQ3" s="40">
        <f>SUM(AW3,BO3)</f>
        <v>211</v>
      </c>
      <c r="BR3" s="41"/>
      <c r="BS3" s="31">
        <v>7.4</v>
      </c>
      <c r="BT3" s="344">
        <v>20</v>
      </c>
      <c r="BU3" s="30">
        <f>IF(BS3=0,"",IF(BS3&gt;10,2,IF(AND(BS3&lt;=10,BS3&gt;9.2),3,IF(AND(BS3&lt;=9.2,BS3&gt;8.4),4,IF(AND(BS3&lt;=8.4),5)))))</f>
        <v>5</v>
      </c>
      <c r="BV3" s="31">
        <v>9.1999999999999993</v>
      </c>
      <c r="BW3" s="344">
        <v>10</v>
      </c>
      <c r="BX3" s="30">
        <f>IF(BV3=0,"",IF(BV3&gt;11,2,IF(AND(BV3&lt;=11,BV3&gt;10),3,IF(AND(BV3&lt;=10,BV3&gt;9.2),4,IF(AND(BV3&lt;=9.2),5)))))</f>
        <v>5</v>
      </c>
      <c r="BY3" s="31">
        <v>45</v>
      </c>
      <c r="BZ3" s="344">
        <v>10</v>
      </c>
      <c r="CA3" s="30">
        <f>IF(BY3=0,"",IF(BY3&lt;31,2,IF(AND(BY3&gt;=31,BY3&lt;40),3,IF(AND(BY3&gt;=40,BY3&lt;45),4,IF(AND(BY3&gt;=45),5)))))</f>
        <v>5</v>
      </c>
      <c r="CB3" s="31">
        <v>35</v>
      </c>
      <c r="CC3" s="344">
        <v>20</v>
      </c>
      <c r="CD3" s="30">
        <f>IF(CB3=0,"",IF(CB3&lt;7,2,IF(AND(CB3&gt;=7,CB3&lt;15),3,IF(AND(CB3&gt;=15,CB3&lt;22),4,IF(AND(CB3&gt;=22),5)))))</f>
        <v>5</v>
      </c>
      <c r="CE3" s="40">
        <f>SUM(BT3,BW3,BZ3,CC3)</f>
        <v>60</v>
      </c>
      <c r="CF3" s="30">
        <f>IF(CE3=0,"",IF(CE3&lt;4,2,IF(AND(CE3&gt;=4,CE3&lt;16),3,IF(AND(CE3&gt;=16,CE3&lt;30),4,IF(AND(CE3&gt;=30),5)))))</f>
        <v>5</v>
      </c>
      <c r="CG3" s="40">
        <f>SUM(BQ3,CE3)</f>
        <v>271</v>
      </c>
      <c r="CH3" s="223">
        <v>5</v>
      </c>
      <c r="CI3" s="32" t="s">
        <v>234</v>
      </c>
    </row>
    <row r="4" spans="1:87">
      <c r="A4" s="3"/>
      <c r="B4" s="32" t="s">
        <v>235</v>
      </c>
      <c r="C4" s="150">
        <v>34375</v>
      </c>
      <c r="D4" s="47" t="s">
        <v>19</v>
      </c>
      <c r="E4" s="32">
        <v>186</v>
      </c>
      <c r="F4" s="32">
        <v>71</v>
      </c>
      <c r="G4" s="32">
        <v>79</v>
      </c>
      <c r="H4" s="136">
        <v>1.1579999999999999</v>
      </c>
      <c r="I4" s="151">
        <f>F4/(E4/100)^2</f>
        <v>20.522603769221874</v>
      </c>
      <c r="J4" s="43" t="s">
        <v>24</v>
      </c>
      <c r="K4" s="32">
        <f>((E4-F4)*E4)/(H4*2*G4)</f>
        <v>116.90824424476946</v>
      </c>
      <c r="L4" s="32" t="s">
        <v>235</v>
      </c>
      <c r="M4" s="32">
        <v>219</v>
      </c>
      <c r="N4" s="40">
        <v>20</v>
      </c>
      <c r="O4" s="30">
        <f>IF(M4=0,"",IF(M4&lt;190,2,IF(AND(M4&gt;=190,M4&lt;195),3,IF(AND(M4&gt;=195,M4&lt;200),4,IF(AND(M4&gt;=200),5)))))</f>
        <v>5</v>
      </c>
      <c r="P4" s="32">
        <v>4.2</v>
      </c>
      <c r="Q4" s="40">
        <v>16</v>
      </c>
      <c r="R4" s="30">
        <f>IF(P4=0,"",IF(P4&gt;5.5,2,IF(AND(P4&lt;=5.5,P4&gt;5),3,IF(AND(P4&lt;=5,P4&gt;4.5),4,IF(AND(P4&lt;=4.5),5)))))</f>
        <v>5</v>
      </c>
      <c r="S4" s="32">
        <v>9.5</v>
      </c>
      <c r="T4" s="40">
        <v>15</v>
      </c>
      <c r="U4" s="30">
        <f>IF(S4=0,"",IF(S4&gt;10.5,2,IF(AND(S4&lt;=10.5,S4&gt;10.2),3,IF(AND(S4&lt;=10.2,S4&gt;9.9),4,IF(AND(S4&lt;=9.9),5)))))</f>
        <v>5</v>
      </c>
      <c r="V4" s="32">
        <v>1500</v>
      </c>
      <c r="W4" s="40">
        <v>20</v>
      </c>
      <c r="X4" s="30">
        <f>IF(V4=0,"",IF(V4&lt;1190,2,IF(AND(V4&gt;=1190,V4&lt;1290),3,IF(AND(V4&gt;=1290,V4&lt;1400),4,IF(AND(V4&gt;=1400),5)))))</f>
        <v>5</v>
      </c>
      <c r="Y4" s="40">
        <f>SUM(N4,Q4,T4,W4)</f>
        <v>71</v>
      </c>
      <c r="Z4" s="30">
        <f>IF(Y4=0,"",IF(Y4&lt;4,2,IF(AND(Y4&gt;=4,Y4&lt;16),3,IF(AND(Y4&gt;=16,Y4&lt;30),4,IF(AND(Y4&gt;=30),5)))))</f>
        <v>5</v>
      </c>
      <c r="AA4" s="223">
        <v>5</v>
      </c>
      <c r="AB4" s="32" t="s">
        <v>235</v>
      </c>
      <c r="AC4" s="32">
        <v>56</v>
      </c>
      <c r="AD4" s="40">
        <v>19</v>
      </c>
      <c r="AE4" s="30">
        <f>IF(AC4=0,"",IF(AC4&lt;35,2,IF(AND(AC4&gt;=35,AC4&lt;43),3,IF(AND(AC4&gt;=43,AC4&lt;50),4,IF(AND(AC4&gt;=50),5)))))</f>
        <v>5</v>
      </c>
      <c r="AF4" s="32">
        <v>-18</v>
      </c>
      <c r="AG4" s="40">
        <v>0</v>
      </c>
      <c r="AH4" s="30">
        <f>IF(AF4=0,"",IF(AF4&lt;6,2,IF(AND(AF4&gt;=6,AF4&lt;9),3,IF(AND(AF4&gt;=9,AF4&lt;11),4,IF(AND(AF4&gt;=11),5)))))</f>
        <v>2</v>
      </c>
      <c r="AI4" s="32">
        <v>145</v>
      </c>
      <c r="AJ4" s="40">
        <v>15</v>
      </c>
      <c r="AK4" s="30">
        <f>IF(AI4=0,"",IF(AI4&lt;110,2,IF(AND(AI4&gt;=110,AI4&lt;120),3,IF(AND(AI4&gt;=120,AI4&lt;130),4,IF(AND(AI4&gt;=130),5)))))</f>
        <v>5</v>
      </c>
      <c r="AL4" s="32">
        <v>10</v>
      </c>
      <c r="AM4" s="40">
        <v>10</v>
      </c>
      <c r="AN4" s="30">
        <f>IF(AL4=0,"",IF(AL4&lt;7,2,IF(AND(AL4&gt;=7,AL4&lt;8),3,IF(AND(AL4&gt;=8,AL4&lt;10),4,IF(AND(AL4&gt;=10),5)))))</f>
        <v>5</v>
      </c>
      <c r="AO4" s="32">
        <v>9</v>
      </c>
      <c r="AP4" s="40">
        <v>9</v>
      </c>
      <c r="AQ4" s="30">
        <f>IF(AO4=0,"",IF(AO4&lt;1,2,IF(AND(AO4&gt;=1,AO4&lt;5),3,IF(AND(AO4&gt;=5,AO4&lt;10),4,IF(AND(AO4&gt;=10),5)))))</f>
        <v>4</v>
      </c>
      <c r="AR4" s="32">
        <v>10</v>
      </c>
      <c r="AS4" s="40">
        <v>10</v>
      </c>
      <c r="AT4" s="30">
        <f>IF(AR4=0,"",IF(AR4&lt;1,2,IF(AND(AR4&gt;=1,AR4&lt;5),3,IF(AND(AR4&gt;=5,AR4&lt;10),4,IF(AND(AR4&gt;=10),5)))))</f>
        <v>5</v>
      </c>
      <c r="AU4" s="40">
        <f>SUM(AD4,AG4,AJ4,AM4,AP4,AS4)</f>
        <v>63</v>
      </c>
      <c r="AV4" s="30">
        <f>IF(AU4=0,"",IF(AU4&lt;6,2,IF(AND(AU4&gt;=6,AU4&lt;20),3,IF(AND(AU4&gt;=20,AU4&lt;46),4,IF(AND(AU4&gt;=46),5)))))</f>
        <v>5</v>
      </c>
      <c r="AW4" s="40">
        <f>SUM(Y4,AU4)</f>
        <v>134</v>
      </c>
      <c r="AX4" s="41"/>
      <c r="AY4" s="32" t="s">
        <v>235</v>
      </c>
      <c r="AZ4" s="31">
        <v>10.11</v>
      </c>
      <c r="BA4" s="344">
        <v>5</v>
      </c>
      <c r="BB4" s="30">
        <v>4</v>
      </c>
      <c r="BC4" s="31">
        <v>19.25</v>
      </c>
      <c r="BD4" s="344">
        <v>5</v>
      </c>
      <c r="BE4" s="30">
        <v>4</v>
      </c>
      <c r="BF4" s="31">
        <v>20</v>
      </c>
      <c r="BG4" s="344">
        <v>20</v>
      </c>
      <c r="BH4" s="30">
        <f>IF(BF4=0,"",IF(BF4&lt;6,2,IF(AND(BF4&gt;=6,BF4&lt;8),3,IF(AND(BF4&gt;=8,BF4&lt;10),4,IF(AND(BF4&gt;=10),5)))))</f>
        <v>5</v>
      </c>
      <c r="BI4" s="31">
        <v>10.9</v>
      </c>
      <c r="BJ4" s="344">
        <v>15</v>
      </c>
      <c r="BK4" s="30">
        <f>IF(BI4=0,"",IF(BI4&gt;14.2,2,IF(AND(BI4&lt;=14.2,BI4&gt;13),3,IF(AND(BI4&lt;=13,BI4&gt;12),4,IF(AND(BI4&lt;=12),5)))))</f>
        <v>5</v>
      </c>
      <c r="BL4" s="31">
        <v>9</v>
      </c>
      <c r="BM4" s="344">
        <v>18</v>
      </c>
      <c r="BN4" s="30">
        <f>IF(BL4=0,"",IF(BL4&lt;4,2,IF(AND(BL4&gt;=4,BL4&lt;6),3,IF(AND(BL4&gt;=6,BL4&lt;8),4,IF(AND(BL4&gt;=8),5)))))</f>
        <v>5</v>
      </c>
      <c r="BO4" s="40">
        <f>SUM(BA4,BD4,BG4,BJ4,BM4)</f>
        <v>63</v>
      </c>
      <c r="BP4" s="30">
        <f>IF(BO4=0,"",IF(BO4&lt;5,2,IF(AND(BO4&gt;=5,BO4&lt;17),3,IF(AND(BO4&gt;=17,BO4&lt;40),4,IF(AND(BO4&gt;=40),5)))))</f>
        <v>5</v>
      </c>
      <c r="BQ4" s="40">
        <f>SUM(AW4,BO4)</f>
        <v>197</v>
      </c>
      <c r="BR4" s="41"/>
      <c r="BS4" s="31">
        <v>7.9</v>
      </c>
      <c r="BT4" s="344">
        <v>18</v>
      </c>
      <c r="BU4" s="30">
        <f>IF(BS4=0,"",IF(BS4&gt;10,2,IF(AND(BS4&lt;=10,BS4&gt;9.2),3,IF(AND(BS4&lt;=9.2,BS4&gt;8.4),4,IF(AND(BS4&lt;=8.4),5)))))</f>
        <v>5</v>
      </c>
      <c r="BV4" s="31">
        <v>9.25</v>
      </c>
      <c r="BW4" s="344">
        <v>9</v>
      </c>
      <c r="BX4" s="30">
        <f>IF(BV4=0,"",IF(BV4&gt;11,2,IF(AND(BV4&lt;=11,BV4&gt;10),3,IF(AND(BV4&lt;=10,BV4&gt;9.2),4,IF(AND(BV4&lt;=9.2),5)))))</f>
        <v>4</v>
      </c>
      <c r="BY4" s="31">
        <v>45</v>
      </c>
      <c r="BZ4" s="344">
        <v>10</v>
      </c>
      <c r="CA4" s="30">
        <f>IF(BY4=0,"",IF(BY4&lt;31,2,IF(AND(BY4&gt;=31,BY4&lt;40),3,IF(AND(BY4&gt;=40,BY4&lt;45),4,IF(AND(BY4&gt;=45),5)))))</f>
        <v>5</v>
      </c>
      <c r="CB4" s="31">
        <v>33</v>
      </c>
      <c r="CC4" s="344">
        <v>18</v>
      </c>
      <c r="CD4" s="30">
        <f>IF(CB4=0,"",IF(CB4&lt;7,2,IF(AND(CB4&gt;=7,CB4&lt;15),3,IF(AND(CB4&gt;=15,CB4&lt;22),4,IF(AND(CB4&gt;=22),5)))))</f>
        <v>5</v>
      </c>
      <c r="CE4" s="40">
        <f>SUM(BT4,BW4,BZ4,CC4)</f>
        <v>55</v>
      </c>
      <c r="CF4" s="30">
        <f>IF(CE4=0,"",IF(CE4&lt;4,2,IF(AND(CE4&gt;=4,CE4&lt;16),3,IF(AND(CE4&gt;=16,CE4&lt;30),4,IF(AND(CE4&gt;=30),5)))))</f>
        <v>5</v>
      </c>
      <c r="CG4" s="40">
        <f>SUM(BQ4,CE4)</f>
        <v>252</v>
      </c>
      <c r="CH4" s="41"/>
      <c r="CI4" s="32" t="s">
        <v>235</v>
      </c>
    </row>
    <row r="5" spans="1:87">
      <c r="A5" s="3"/>
      <c r="B5" s="32" t="s">
        <v>236</v>
      </c>
      <c r="C5" s="150">
        <v>34222</v>
      </c>
      <c r="D5" s="47" t="s">
        <v>19</v>
      </c>
      <c r="E5" s="32">
        <v>162</v>
      </c>
      <c r="F5" s="32">
        <v>64</v>
      </c>
      <c r="G5" s="32">
        <v>84</v>
      </c>
      <c r="H5" s="136">
        <v>1.139</v>
      </c>
      <c r="I5" s="151">
        <f>F5/(E5/100)^2</f>
        <v>24.386526444139609</v>
      </c>
      <c r="J5" s="10" t="s">
        <v>21</v>
      </c>
      <c r="K5" s="32">
        <f>((E5-F5)*E5)/(H5*2*G5)</f>
        <v>82.967515364354696</v>
      </c>
      <c r="L5" s="32" t="s">
        <v>236</v>
      </c>
      <c r="M5" s="32">
        <v>217</v>
      </c>
      <c r="N5" s="40">
        <v>20</v>
      </c>
      <c r="O5" s="30">
        <f>IF(M5=0,"",IF(M5&lt;190,2,IF(AND(M5&gt;=190,M5&lt;195),3,IF(AND(M5&gt;=195,M5&lt;200),4,IF(AND(M5&gt;=200),5)))))</f>
        <v>5</v>
      </c>
      <c r="P5" s="32">
        <v>4</v>
      </c>
      <c r="Q5" s="40">
        <v>19</v>
      </c>
      <c r="R5" s="30">
        <f>IF(P5=0,"",IF(P5&gt;5.5,2,IF(AND(P5&lt;=5.5,P5&gt;5),3,IF(AND(P5&lt;=5,P5&gt;4.5),4,IF(AND(P5&lt;=4.5),5)))))</f>
        <v>5</v>
      </c>
      <c r="S5" s="32">
        <v>9.5</v>
      </c>
      <c r="T5" s="40">
        <v>15</v>
      </c>
      <c r="U5" s="30">
        <f>IF(S5=0,"",IF(S5&gt;10.5,2,IF(AND(S5&lt;=10.5,S5&gt;10.2),3,IF(AND(S5&lt;=10.2,S5&gt;9.9),4,IF(AND(S5&lt;=9.9),5)))))</f>
        <v>5</v>
      </c>
      <c r="V5" s="32">
        <v>1620</v>
      </c>
      <c r="W5" s="40">
        <v>20</v>
      </c>
      <c r="X5" s="30">
        <f>IF(V5=0,"",IF(V5&lt;1190,2,IF(AND(V5&gt;=1190,V5&lt;1290),3,IF(AND(V5&gt;=1290,V5&lt;1400),4,IF(AND(V5&gt;=1400),5)))))</f>
        <v>5</v>
      </c>
      <c r="Y5" s="40">
        <f>SUM(N5,Q5,T5,W5)</f>
        <v>74</v>
      </c>
      <c r="Z5" s="30">
        <f>IF(Y5=0,"",IF(Y5&lt;4,2,IF(AND(Y5&gt;=4,Y5&lt;16),3,IF(AND(Y5&gt;=16,Y5&lt;30),4,IF(AND(Y5&gt;=30),5)))))</f>
        <v>5</v>
      </c>
      <c r="AA5" s="223">
        <v>5</v>
      </c>
      <c r="AB5" s="32" t="s">
        <v>236</v>
      </c>
      <c r="AC5" s="32">
        <v>11</v>
      </c>
      <c r="AD5" s="40">
        <v>0</v>
      </c>
      <c r="AE5" s="30">
        <f>IF(AC5=0,"",IF(AC5&lt;35,2,IF(AND(AC5&gt;=35,AC5&lt;43),3,IF(AND(AC5&gt;=43,AC5&lt;50),4,IF(AND(AC5&gt;=50),5)))))</f>
        <v>2</v>
      </c>
      <c r="AF5" s="32">
        <v>11</v>
      </c>
      <c r="AG5" s="40">
        <v>5</v>
      </c>
      <c r="AH5" s="30">
        <f>IF(AF5=0,"",IF(AF5&lt;6,2,IF(AND(AF5&gt;=6,AF5&lt;9),3,IF(AND(AF5&gt;=9,AF5&lt;11),4,IF(AND(AF5&gt;=11),5)))))</f>
        <v>5</v>
      </c>
      <c r="AI5" s="32">
        <v>160</v>
      </c>
      <c r="AJ5" s="40">
        <v>20</v>
      </c>
      <c r="AK5" s="30">
        <f>IF(AI5=0,"",IF(AI5&lt;110,2,IF(AND(AI5&gt;=110,AI5&lt;120),3,IF(AND(AI5&gt;=120,AI5&lt;130),4,IF(AND(AI5&gt;=130),5)))))</f>
        <v>5</v>
      </c>
      <c r="AL5" s="32">
        <v>7</v>
      </c>
      <c r="AM5" s="40">
        <v>1</v>
      </c>
      <c r="AN5" s="30">
        <f>IF(AL5=0,"",IF(AL5&lt;7,2,IF(AND(AL5&gt;=7,AL5&lt;8),3,IF(AND(AL5&gt;=8,AL5&lt;10),4,IF(AND(AL5&gt;=10),5)))))</f>
        <v>3</v>
      </c>
      <c r="AO5" s="32">
        <v>12</v>
      </c>
      <c r="AP5" s="40">
        <v>12</v>
      </c>
      <c r="AQ5" s="30">
        <f>IF(AO5=0,"",IF(AO5&lt;1,2,IF(AND(AO5&gt;=1,AO5&lt;5),3,IF(AND(AO5&gt;=5,AO5&lt;10),4,IF(AND(AO5&gt;=10),5)))))</f>
        <v>5</v>
      </c>
      <c r="AR5" s="32">
        <v>10</v>
      </c>
      <c r="AS5" s="40">
        <v>10</v>
      </c>
      <c r="AT5" s="30">
        <f>IF(AR5=0,"",IF(AR5&lt;1,2,IF(AND(AR5&gt;=1,AR5&lt;5),3,IF(AND(AR5&gt;=5,AR5&lt;10),4,IF(AND(AR5&gt;=10),5)))))</f>
        <v>5</v>
      </c>
      <c r="AU5" s="40">
        <f>SUM(AD5,AG5,AJ5,AM5,AP5,AS5)</f>
        <v>48</v>
      </c>
      <c r="AV5" s="30">
        <f>IF(AU5=0,"",IF(AU5&lt;6,2,IF(AND(AU5&gt;=6,AU5&lt;20),3,IF(AND(AU5&gt;=20,AU5&lt;46),4,IF(AND(AU5&gt;=46),5)))))</f>
        <v>5</v>
      </c>
      <c r="AW5" s="40">
        <f>SUM(Y5,AU5)</f>
        <v>122</v>
      </c>
      <c r="AX5" s="41"/>
      <c r="AY5" s="32" t="s">
        <v>236</v>
      </c>
      <c r="AZ5" s="31">
        <v>11.48</v>
      </c>
      <c r="BA5" s="344">
        <v>5</v>
      </c>
      <c r="BB5" s="30">
        <v>4</v>
      </c>
      <c r="BC5" s="31">
        <v>23.150000000000002</v>
      </c>
      <c r="BD5" s="344">
        <v>5</v>
      </c>
      <c r="BE5" s="30">
        <v>4</v>
      </c>
      <c r="BF5" s="31">
        <v>20</v>
      </c>
      <c r="BG5" s="344">
        <v>20</v>
      </c>
      <c r="BH5" s="30">
        <f>IF(BF5=0,"",IF(BF5&lt;6,2,IF(AND(BF5&gt;=6,BF5&lt;8),3,IF(AND(BF5&gt;=8,BF5&lt;10),4,IF(AND(BF5&gt;=10),5)))))</f>
        <v>5</v>
      </c>
      <c r="BI5" s="31">
        <v>12</v>
      </c>
      <c r="BJ5" s="344">
        <v>10</v>
      </c>
      <c r="BK5" s="30">
        <f>IF(BI5=0,"",IF(BI5&gt;14.2,2,IF(AND(BI5&lt;=14.2,BI5&gt;13),3,IF(AND(BI5&lt;=13,BI5&gt;12),4,IF(AND(BI5&lt;=12),5)))))</f>
        <v>5</v>
      </c>
      <c r="BL5" s="31">
        <v>8</v>
      </c>
      <c r="BM5" s="344">
        <v>10</v>
      </c>
      <c r="BN5" s="30">
        <f>IF(BL5=0,"",IF(BL5&lt;4,2,IF(AND(BL5&gt;=4,BL5&lt;6),3,IF(AND(BL5&gt;=6,BL5&lt;8),4,IF(AND(BL5&gt;=8),5)))))</f>
        <v>5</v>
      </c>
      <c r="BO5" s="40">
        <f>SUM(BA5,BD5,BG5,BJ5,BM5)</f>
        <v>50</v>
      </c>
      <c r="BP5" s="30">
        <f>IF(BO5=0,"",IF(BO5&lt;5,2,IF(AND(BO5&gt;=5,BO5&lt;17),3,IF(AND(BO5&gt;=17,BO5&lt;40),4,IF(AND(BO5&gt;=40),5)))))</f>
        <v>5</v>
      </c>
      <c r="BQ5" s="40">
        <f>SUM(AW5,BO5)</f>
        <v>172</v>
      </c>
      <c r="BR5" s="41"/>
      <c r="BS5" s="31">
        <v>7.7</v>
      </c>
      <c r="BT5" s="344">
        <v>20</v>
      </c>
      <c r="BU5" s="30">
        <f>IF(BS5=0,"",IF(BS5&gt;10,2,IF(AND(BS5&lt;=10,BS5&gt;9.2),3,IF(AND(BS5&lt;=9.2,BS5&gt;8.4),4,IF(AND(BS5&lt;=8.4),5)))))</f>
        <v>5</v>
      </c>
      <c r="BV5" s="31">
        <v>10.58</v>
      </c>
      <c r="BW5" s="344">
        <v>1</v>
      </c>
      <c r="BX5" s="30">
        <f>IF(BV5=0,"",IF(BV5&gt;11,2,IF(AND(BV5&lt;=11,BV5&gt;10),3,IF(AND(BV5&lt;=10,BV5&gt;9.2),4,IF(AND(BV5&lt;=9.2),5)))))</f>
        <v>3</v>
      </c>
      <c r="BY5" s="31">
        <v>45</v>
      </c>
      <c r="BZ5" s="344">
        <v>10</v>
      </c>
      <c r="CA5" s="30">
        <f>IF(BY5=0,"",IF(BY5&lt;31,2,IF(AND(BY5&gt;=31,BY5&lt;40),3,IF(AND(BY5&gt;=40,BY5&lt;45),4,IF(AND(BY5&gt;=45),5)))))</f>
        <v>5</v>
      </c>
      <c r="CB5" s="31">
        <v>40</v>
      </c>
      <c r="CC5" s="344">
        <v>20</v>
      </c>
      <c r="CD5" s="30">
        <f>IF(CB5=0,"",IF(CB5&lt;7,2,IF(AND(CB5&gt;=7,CB5&lt;15),3,IF(AND(CB5&gt;=15,CB5&lt;22),4,IF(AND(CB5&gt;=22),5)))))</f>
        <v>5</v>
      </c>
      <c r="CE5" s="40">
        <f>SUM(BT5,BW5,BZ5,CC5)</f>
        <v>51</v>
      </c>
      <c r="CF5" s="30">
        <f>IF(CE5=0,"",IF(CE5&lt;4,2,IF(AND(CE5&gt;=4,CE5&lt;16),3,IF(AND(CE5&gt;=16,CE5&lt;30),4,IF(AND(CE5&gt;=30),5)))))</f>
        <v>5</v>
      </c>
      <c r="CG5" s="40">
        <f>SUM(BQ5,CE5)</f>
        <v>223</v>
      </c>
      <c r="CH5" s="41"/>
      <c r="CI5" s="32" t="s">
        <v>236</v>
      </c>
    </row>
    <row r="6" spans="1:87">
      <c r="A6" s="3"/>
      <c r="B6" s="32" t="s">
        <v>237</v>
      </c>
      <c r="C6" s="150">
        <v>33953</v>
      </c>
      <c r="D6" s="47" t="s">
        <v>19</v>
      </c>
      <c r="E6" s="32">
        <v>177</v>
      </c>
      <c r="F6" s="32">
        <v>69</v>
      </c>
      <c r="G6" s="32">
        <v>82</v>
      </c>
      <c r="H6" s="136">
        <v>1.1339999999999999</v>
      </c>
      <c r="I6" s="151">
        <f>F6/(E6/100)^2</f>
        <v>22.024322512687924</v>
      </c>
      <c r="J6" s="10" t="s">
        <v>26</v>
      </c>
      <c r="K6" s="32">
        <f>((E6-F6)*E6)/(H6*2*G6)</f>
        <v>102.78745644599304</v>
      </c>
      <c r="L6" s="32" t="s">
        <v>237</v>
      </c>
      <c r="M6" s="32">
        <v>221</v>
      </c>
      <c r="N6" s="40">
        <v>20</v>
      </c>
      <c r="O6" s="30">
        <f>IF(M6=0,"",IF(M6&lt;190,2,IF(AND(M6&gt;=190,M6&lt;195),3,IF(AND(M6&gt;=195,M6&lt;200),4,IF(AND(M6&gt;=200),5)))))</f>
        <v>5</v>
      </c>
      <c r="P6" s="32">
        <v>4</v>
      </c>
      <c r="Q6" s="40">
        <v>19</v>
      </c>
      <c r="R6" s="30">
        <f>IF(P6=0,"",IF(P6&gt;5.5,2,IF(AND(P6&lt;=5.5,P6&gt;5),3,IF(AND(P6&lt;=5,P6&gt;4.5),4,IF(AND(P6&lt;=4.5),5)))))</f>
        <v>5</v>
      </c>
      <c r="S6" s="32">
        <v>9.8000000000000007</v>
      </c>
      <c r="T6" s="40">
        <v>12</v>
      </c>
      <c r="U6" s="30">
        <f>IF(S6=0,"",IF(S6&gt;10.5,2,IF(AND(S6&lt;=10.5,S6&gt;10.2),3,IF(AND(S6&lt;=10.2,S6&gt;9.9),4,IF(AND(S6&lt;=9.9),5)))))</f>
        <v>5</v>
      </c>
      <c r="V6" s="32">
        <v>1465</v>
      </c>
      <c r="W6" s="40">
        <v>16</v>
      </c>
      <c r="X6" s="30">
        <f>IF(V6=0,"",IF(V6&lt;1190,2,IF(AND(V6&gt;=1190,V6&lt;1290),3,IF(AND(V6&gt;=1290,V6&lt;1400),4,IF(AND(V6&gt;=1400),5)))))</f>
        <v>5</v>
      </c>
      <c r="Y6" s="40">
        <f>SUM(N6,Q6,T6,W6)</f>
        <v>67</v>
      </c>
      <c r="Z6" s="30">
        <f>IF(Y6=0,"",IF(Y6&lt;4,2,IF(AND(Y6&gt;=4,Y6&lt;16),3,IF(AND(Y6&gt;=16,Y6&lt;30),4,IF(AND(Y6&gt;=30),5)))))</f>
        <v>5</v>
      </c>
      <c r="AA6" s="223">
        <v>5</v>
      </c>
      <c r="AB6" s="32" t="s">
        <v>237</v>
      </c>
      <c r="AC6" s="32">
        <v>42</v>
      </c>
      <c r="AD6" s="40">
        <v>4</v>
      </c>
      <c r="AE6" s="30">
        <f>IF(AC6=0,"",IF(AC6&lt;35,2,IF(AND(AC6&gt;=35,AC6&lt;43),3,IF(AND(AC6&gt;=43,AC6&lt;50),4,IF(AND(AC6&gt;=50),5)))))</f>
        <v>3</v>
      </c>
      <c r="AF6" s="32">
        <v>-14</v>
      </c>
      <c r="AG6" s="40">
        <v>0</v>
      </c>
      <c r="AH6" s="30">
        <f>IF(AF6=0,"",IF(AF6&lt;6,2,IF(AND(AF6&gt;=6,AF6&lt;9),3,IF(AND(AF6&gt;=9,AF6&lt;11),4,IF(AND(AF6&gt;=11),5)))))</f>
        <v>2</v>
      </c>
      <c r="AI6" s="32">
        <v>174</v>
      </c>
      <c r="AJ6" s="40">
        <v>20</v>
      </c>
      <c r="AK6" s="30">
        <f>IF(AI6=0,"",IF(AI6&lt;110,2,IF(AND(AI6&gt;=110,AI6&lt;120),3,IF(AND(AI6&gt;=120,AI6&lt;130),4,IF(AND(AI6&gt;=130),5)))))</f>
        <v>5</v>
      </c>
      <c r="AL6" s="32">
        <v>7</v>
      </c>
      <c r="AM6" s="40">
        <v>1</v>
      </c>
      <c r="AN6" s="30">
        <f>IF(AL6=0,"",IF(AL6&lt;7,2,IF(AND(AL6&gt;=7,AL6&lt;8),3,IF(AND(AL6&gt;=8,AL6&lt;10),4,IF(AND(AL6&gt;=10),5)))))</f>
        <v>3</v>
      </c>
      <c r="AO6" s="32">
        <v>7</v>
      </c>
      <c r="AP6" s="40">
        <v>7</v>
      </c>
      <c r="AQ6" s="30">
        <f>IF(AO6=0,"",IF(AO6&lt;1,2,IF(AND(AO6&gt;=1,AO6&lt;5),3,IF(AND(AO6&gt;=5,AO6&lt;10),4,IF(AND(AO6&gt;=10),5)))))</f>
        <v>4</v>
      </c>
      <c r="AR6" s="32">
        <v>10</v>
      </c>
      <c r="AS6" s="40">
        <v>10</v>
      </c>
      <c r="AT6" s="30">
        <f>IF(AR6=0,"",IF(AR6&lt;1,2,IF(AND(AR6&gt;=1,AR6&lt;5),3,IF(AND(AR6&gt;=5,AR6&lt;10),4,IF(AND(AR6&gt;=10),5)))))</f>
        <v>5</v>
      </c>
      <c r="AU6" s="40">
        <f>SUM(AD6,AG6,AJ6,AM6,AP6,AS6)</f>
        <v>42</v>
      </c>
      <c r="AV6" s="30">
        <f>IF(AU6=0,"",IF(AU6&lt;6,2,IF(AND(AU6&gt;=6,AU6&lt;20),3,IF(AND(AU6&gt;=20,AU6&lt;46),4,IF(AND(AU6&gt;=46),5)))))</f>
        <v>4</v>
      </c>
      <c r="AW6" s="40">
        <f>SUM(Y6,AU6)</f>
        <v>109</v>
      </c>
      <c r="AX6" s="41"/>
      <c r="AY6" s="32" t="s">
        <v>237</v>
      </c>
      <c r="AZ6" s="31">
        <v>12.49</v>
      </c>
      <c r="BA6" s="344">
        <v>5</v>
      </c>
      <c r="BB6" s="30">
        <v>4</v>
      </c>
      <c r="BC6" s="31">
        <v>30.25</v>
      </c>
      <c r="BD6" s="344">
        <v>5</v>
      </c>
      <c r="BE6" s="30">
        <v>4</v>
      </c>
      <c r="BF6" s="31">
        <v>18</v>
      </c>
      <c r="BG6" s="344">
        <v>18</v>
      </c>
      <c r="BH6" s="30">
        <f>IF(BF6=0,"",IF(BF6&lt;6,2,IF(AND(BF6&gt;=6,BF6&lt;8),3,IF(AND(BF6&gt;=8,BF6&lt;10),4,IF(AND(BF6&gt;=10),5)))))</f>
        <v>5</v>
      </c>
      <c r="BI6" s="31">
        <v>10.8</v>
      </c>
      <c r="BJ6" s="344">
        <v>16</v>
      </c>
      <c r="BK6" s="30">
        <f>IF(BI6=0,"",IF(BI6&gt;14.2,2,IF(AND(BI6&lt;=14.2,BI6&gt;13),3,IF(AND(BI6&lt;=13,BI6&gt;12),4,IF(AND(BI6&lt;=12),5)))))</f>
        <v>5</v>
      </c>
      <c r="BL6" s="31">
        <v>8</v>
      </c>
      <c r="BM6" s="344">
        <v>10</v>
      </c>
      <c r="BN6" s="30">
        <f>IF(BL6=0,"",IF(BL6&lt;4,2,IF(AND(BL6&gt;=4,BL6&lt;6),3,IF(AND(BL6&gt;=6,BL6&lt;8),4,IF(AND(BL6&gt;=8),5)))))</f>
        <v>5</v>
      </c>
      <c r="BO6" s="40">
        <f>SUM(BA6,BD6,BG6,BJ6,BM6)</f>
        <v>54</v>
      </c>
      <c r="BP6" s="30">
        <f>IF(BO6=0,"",IF(BO6&lt;5,2,IF(AND(BO6&gt;=5,BO6&lt;17),3,IF(AND(BO6&gt;=17,BO6&lt;40),4,IF(AND(BO6&gt;=40),5)))))</f>
        <v>5</v>
      </c>
      <c r="BQ6" s="40">
        <f>SUM(AW6,BO6)</f>
        <v>163</v>
      </c>
      <c r="BR6" s="41"/>
      <c r="BS6" s="31">
        <v>7.7</v>
      </c>
      <c r="BT6" s="344">
        <v>20</v>
      </c>
      <c r="BU6" s="30">
        <f>IF(BS6=0,"",IF(BS6&gt;10,2,IF(AND(BS6&lt;=10,BS6&gt;9.2),3,IF(AND(BS6&lt;=9.2,BS6&gt;8.4),4,IF(AND(BS6&lt;=8.4),5)))))</f>
        <v>5</v>
      </c>
      <c r="BV6" s="31">
        <v>10.3</v>
      </c>
      <c r="BW6" s="344">
        <v>3</v>
      </c>
      <c r="BX6" s="30">
        <f>IF(BV6=0,"",IF(BV6&gt;11,2,IF(AND(BV6&lt;=11,BV6&gt;10),3,IF(AND(BV6&lt;=10,BV6&gt;9.2),4,IF(AND(BV6&lt;=9.2),5)))))</f>
        <v>3</v>
      </c>
      <c r="BY6" s="31">
        <v>42</v>
      </c>
      <c r="BZ6" s="344">
        <v>7</v>
      </c>
      <c r="CA6" s="30">
        <f>IF(BY6=0,"",IF(BY6&lt;31,2,IF(AND(BY6&gt;=31,BY6&lt;40),3,IF(AND(BY6&gt;=40,BY6&lt;45),4,IF(AND(BY6&gt;=45),5)))))</f>
        <v>4</v>
      </c>
      <c r="CB6" s="31">
        <v>28</v>
      </c>
      <c r="CC6" s="344">
        <v>14</v>
      </c>
      <c r="CD6" s="30">
        <f>IF(CB6=0,"",IF(CB6&lt;7,2,IF(AND(CB6&gt;=7,CB6&lt;15),3,IF(AND(CB6&gt;=15,CB6&lt;22),4,IF(AND(CB6&gt;=22),5)))))</f>
        <v>5</v>
      </c>
      <c r="CE6" s="40">
        <f>SUM(BT6,BW6,BZ6,CC6)</f>
        <v>44</v>
      </c>
      <c r="CF6" s="30">
        <f>IF(CE6=0,"",IF(CE6&lt;4,2,IF(AND(CE6&gt;=4,CE6&lt;16),3,IF(AND(CE6&gt;=16,CE6&lt;30),4,IF(AND(CE6&gt;=30),5)))))</f>
        <v>5</v>
      </c>
      <c r="CG6" s="40">
        <f>SUM(BQ6,CE6)</f>
        <v>207</v>
      </c>
      <c r="CH6" s="41"/>
      <c r="CI6" s="32" t="s">
        <v>237</v>
      </c>
    </row>
    <row r="7" spans="1:87">
      <c r="A7" s="3"/>
      <c r="B7" s="32" t="s">
        <v>238</v>
      </c>
      <c r="C7" s="150">
        <v>34130</v>
      </c>
      <c r="D7" s="47" t="s">
        <v>19</v>
      </c>
      <c r="E7" s="32">
        <v>175</v>
      </c>
      <c r="F7" s="32">
        <v>69</v>
      </c>
      <c r="G7" s="32">
        <v>82</v>
      </c>
      <c r="H7" s="136">
        <v>1.139</v>
      </c>
      <c r="I7" s="151">
        <f>F7/(E7/100)^2</f>
        <v>22.530612244897959</v>
      </c>
      <c r="J7" s="43" t="s">
        <v>24</v>
      </c>
      <c r="K7" s="32">
        <f>((E7-F7)*E7)/(H7*2*G7)</f>
        <v>99.306194993468822</v>
      </c>
      <c r="L7" s="32" t="s">
        <v>238</v>
      </c>
      <c r="M7" s="32">
        <v>257</v>
      </c>
      <c r="N7" s="40">
        <v>20</v>
      </c>
      <c r="O7" s="30">
        <f>IF(M7=0,"",IF(M7&lt;190,2,IF(AND(M7&gt;=190,M7&lt;195),3,IF(AND(M7&gt;=195,M7&lt;200),4,IF(AND(M7&gt;=200),5)))))</f>
        <v>5</v>
      </c>
      <c r="P7" s="32">
        <v>4</v>
      </c>
      <c r="Q7" s="40">
        <v>19</v>
      </c>
      <c r="R7" s="30">
        <f>IF(P7=0,"",IF(P7&gt;5.5,2,IF(AND(P7&lt;=5.5,P7&gt;5),3,IF(AND(P7&lt;=5,P7&gt;4.5),4,IF(AND(P7&lt;=4.5),5)))))</f>
        <v>5</v>
      </c>
      <c r="S7" s="32">
        <v>10.4</v>
      </c>
      <c r="T7" s="40">
        <v>2</v>
      </c>
      <c r="U7" s="30">
        <f>IF(S7=0,"",IF(S7&gt;10.5,2,IF(AND(S7&lt;=10.5,S7&gt;10.2),3,IF(AND(S7&lt;=10.2,S7&gt;9.9),4,IF(AND(S7&lt;=9.9),5)))))</f>
        <v>3</v>
      </c>
      <c r="V7" s="32">
        <v>1580</v>
      </c>
      <c r="W7" s="40">
        <v>20</v>
      </c>
      <c r="X7" s="30">
        <f>IF(V7=0,"",IF(V7&lt;1190,2,IF(AND(V7&gt;=1190,V7&lt;1290),3,IF(AND(V7&gt;=1290,V7&lt;1400),4,IF(AND(V7&gt;=1400),5)))))</f>
        <v>5</v>
      </c>
      <c r="Y7" s="40">
        <f>SUM(N7,Q7,T7,W7)</f>
        <v>61</v>
      </c>
      <c r="Z7" s="30">
        <f>IF(Y7=0,"",IF(Y7&lt;4,2,IF(AND(Y7&gt;=4,Y7&lt;16),3,IF(AND(Y7&gt;=16,Y7&lt;30),4,IF(AND(Y7&gt;=30),5)))))</f>
        <v>5</v>
      </c>
      <c r="AA7" s="41"/>
      <c r="AB7" s="32" t="s">
        <v>238</v>
      </c>
      <c r="AC7" s="32">
        <v>64</v>
      </c>
      <c r="AD7" s="40">
        <v>20</v>
      </c>
      <c r="AE7" s="30">
        <f>IF(AC7=0,"",IF(AC7&lt;35,2,IF(AND(AC7&gt;=35,AC7&lt;43),3,IF(AND(AC7&gt;=43,AC7&lt;50),4,IF(AND(AC7&gt;=50),5)))))</f>
        <v>5</v>
      </c>
      <c r="AF7" s="32">
        <v>18</v>
      </c>
      <c r="AG7" s="40">
        <v>20</v>
      </c>
      <c r="AH7" s="30">
        <f>IF(AF7=0,"",IF(AF7&lt;6,2,IF(AND(AF7&gt;=6,AF7&lt;9),3,IF(AND(AF7&gt;=9,AF7&lt;11),4,IF(AND(AF7&gt;=11),5)))))</f>
        <v>5</v>
      </c>
      <c r="AI7" s="32">
        <v>151</v>
      </c>
      <c r="AJ7" s="40">
        <v>18</v>
      </c>
      <c r="AK7" s="30">
        <f>IF(AI7=0,"",IF(AI7&lt;110,2,IF(AND(AI7&gt;=110,AI7&lt;120),3,IF(AND(AI7&gt;=120,AI7&lt;130),4,IF(AND(AI7&gt;=130),5)))))</f>
        <v>5</v>
      </c>
      <c r="AL7" s="32"/>
      <c r="AM7" s="40"/>
      <c r="AN7" s="30" t="str">
        <f>IF(AL7=0,"",IF(AL7&lt;7,2,IF(AND(AL7&gt;=7,AL7&lt;8),3,IF(AND(AL7&gt;=8,AL7&lt;10),4,IF(AND(AL7&gt;=10),5)))))</f>
        <v/>
      </c>
      <c r="AO7" s="32">
        <v>18</v>
      </c>
      <c r="AP7" s="40">
        <v>18</v>
      </c>
      <c r="AQ7" s="30">
        <f>IF(AO7=0,"",IF(AO7&lt;1,2,IF(AND(AO7&gt;=1,AO7&lt;5),3,IF(AND(AO7&gt;=5,AO7&lt;10),4,IF(AND(AO7&gt;=10),5)))))</f>
        <v>5</v>
      </c>
      <c r="AR7" s="32"/>
      <c r="AS7" s="40"/>
      <c r="AT7" s="30" t="str">
        <f>IF(AR7=0,"",IF(AR7&lt;1,2,IF(AND(AR7&gt;=1,AR7&lt;5),3,IF(AND(AR7&gt;=5,AR7&lt;10),4,IF(AND(AR7&gt;=10),5)))))</f>
        <v/>
      </c>
      <c r="AU7" s="40">
        <f>SUM(AD7,AG7,AJ7,AM7,AP7,AS7)</f>
        <v>76</v>
      </c>
      <c r="AV7" s="30">
        <f>IF(AU7=0,"",IF(AU7&lt;6,2,IF(AND(AU7&gt;=6,AU7&lt;20),3,IF(AND(AU7&gt;=20,AU7&lt;46),4,IF(AND(AU7&gt;=46),5)))))</f>
        <v>5</v>
      </c>
      <c r="AW7" s="40">
        <f>SUM(Y7,AU7)</f>
        <v>137</v>
      </c>
      <c r="AX7" s="41"/>
      <c r="AY7" s="32" t="s">
        <v>238</v>
      </c>
      <c r="AZ7" s="31"/>
      <c r="BA7" s="344"/>
      <c r="BB7" s="30"/>
      <c r="BC7" s="31"/>
      <c r="BD7" s="344"/>
      <c r="BE7" s="30"/>
      <c r="BF7" s="31">
        <v>3</v>
      </c>
      <c r="BG7" s="344">
        <v>0</v>
      </c>
      <c r="BH7" s="30">
        <f>IF(BF7=0,"",IF(BF7&lt;6,2,IF(AND(BF7&gt;=6,BF7&lt;8),3,IF(AND(BF7&gt;=8,BF7&lt;10),4,IF(AND(BF7&gt;=10),5)))))</f>
        <v>2</v>
      </c>
      <c r="BI7" s="31">
        <v>11.4</v>
      </c>
      <c r="BJ7" s="344">
        <v>13</v>
      </c>
      <c r="BK7" s="30">
        <f>IF(BI7=0,"",IF(BI7&gt;14.2,2,IF(AND(BI7&lt;=14.2,BI7&gt;13),3,IF(AND(BI7&lt;=13,BI7&gt;12),4,IF(AND(BI7&lt;=12),5)))))</f>
        <v>5</v>
      </c>
      <c r="BL7" s="31">
        <v>2</v>
      </c>
      <c r="BM7" s="344">
        <v>0</v>
      </c>
      <c r="BN7" s="30">
        <f>IF(BL7=0,"",IF(BL7&lt;4,2,IF(AND(BL7&gt;=4,BL7&lt;6),3,IF(AND(BL7&gt;=6,BL7&lt;8),4,IF(AND(BL7&gt;=8),5)))))</f>
        <v>2</v>
      </c>
      <c r="BO7" s="40">
        <f>SUM(BA7,BD7,BG7,BJ7,BM7)</f>
        <v>13</v>
      </c>
      <c r="BP7" s="30">
        <f>IF(BO7=0,"",IF(BO7&lt;5,2,IF(AND(BO7&gt;=5,BO7&lt;17),3,IF(AND(BO7&gt;=17,BO7&lt;40),4,IF(AND(BO7&gt;=40),5)))))</f>
        <v>3</v>
      </c>
      <c r="BQ7" s="40">
        <f>SUM(AW7,BO7)</f>
        <v>150</v>
      </c>
      <c r="BR7" s="41"/>
      <c r="BS7" s="31">
        <v>7.5</v>
      </c>
      <c r="BT7" s="344">
        <v>20</v>
      </c>
      <c r="BU7" s="30">
        <f>IF(BS7=0,"",IF(BS7&gt;10,2,IF(AND(BS7&lt;=10,BS7&gt;9.2),3,IF(AND(BS7&lt;=9.2,BS7&gt;8.4),4,IF(AND(BS7&lt;=8.4),5)))))</f>
        <v>5</v>
      </c>
      <c r="BV7" s="31">
        <v>10.58</v>
      </c>
      <c r="BW7" s="344">
        <v>1</v>
      </c>
      <c r="BX7" s="30">
        <f>IF(BV7=0,"",IF(BV7&gt;11,2,IF(AND(BV7&lt;=11,BV7&gt;10),3,IF(AND(BV7&lt;=10,BV7&gt;9.2),4,IF(AND(BV7&lt;=9.2),5)))))</f>
        <v>3</v>
      </c>
      <c r="BY7" s="31">
        <v>44</v>
      </c>
      <c r="BZ7" s="344">
        <v>9</v>
      </c>
      <c r="CA7" s="30">
        <f>IF(BY7=0,"",IF(BY7&lt;31,2,IF(AND(BY7&gt;=31,BY7&lt;40),3,IF(AND(BY7&gt;=40,BY7&lt;45),4,IF(AND(BY7&gt;=45),5)))))</f>
        <v>4</v>
      </c>
      <c r="CB7" s="31">
        <v>35</v>
      </c>
      <c r="CC7" s="344">
        <v>20</v>
      </c>
      <c r="CD7" s="30">
        <f>IF(CB7=0,"",IF(CB7&lt;7,2,IF(AND(CB7&gt;=7,CB7&lt;15),3,IF(AND(CB7&gt;=15,CB7&lt;22),4,IF(AND(CB7&gt;=22),5)))))</f>
        <v>5</v>
      </c>
      <c r="CE7" s="40">
        <f>SUM(BT7,BW7,BZ7,CC7)</f>
        <v>50</v>
      </c>
      <c r="CF7" s="30">
        <f>IF(CE7=0,"",IF(CE7&lt;4,2,IF(AND(CE7&gt;=4,CE7&lt;16),3,IF(AND(CE7&gt;=16,CE7&lt;30),4,IF(AND(CE7&gt;=30),5)))))</f>
        <v>5</v>
      </c>
      <c r="CG7" s="40">
        <f>SUM(BQ7,CE7)</f>
        <v>200</v>
      </c>
      <c r="CH7" s="41"/>
      <c r="CI7" s="32" t="s">
        <v>238</v>
      </c>
    </row>
    <row r="8" spans="1:87">
      <c r="A8" s="8"/>
      <c r="B8" s="167"/>
      <c r="C8" s="168"/>
      <c r="D8" s="169"/>
      <c r="E8" s="170"/>
      <c r="F8" s="170"/>
      <c r="G8" s="170"/>
      <c r="H8" s="170"/>
      <c r="I8" s="170"/>
      <c r="J8" s="169"/>
      <c r="K8" s="170"/>
      <c r="L8" s="167"/>
      <c r="M8" s="171"/>
      <c r="N8" s="172"/>
      <c r="O8" s="173"/>
      <c r="P8" s="171"/>
      <c r="Q8" s="172"/>
      <c r="R8" s="173"/>
      <c r="S8" s="171"/>
      <c r="T8" s="172"/>
      <c r="U8" s="173"/>
      <c r="V8" s="171"/>
      <c r="W8" s="172"/>
      <c r="X8" s="173"/>
      <c r="Y8" s="172"/>
      <c r="Z8" s="173"/>
      <c r="AA8" s="123"/>
      <c r="AB8" s="167"/>
      <c r="AC8" s="170"/>
      <c r="AD8" s="174"/>
      <c r="AE8" s="123"/>
      <c r="AF8" s="170"/>
      <c r="AG8" s="174"/>
      <c r="AH8" s="123"/>
      <c r="AI8" s="170"/>
      <c r="AJ8" s="174"/>
      <c r="AK8" s="123"/>
      <c r="AL8" s="170"/>
      <c r="AM8" s="174"/>
      <c r="AN8" s="123"/>
      <c r="AO8" s="170"/>
      <c r="AP8" s="174"/>
      <c r="AQ8" s="123"/>
      <c r="AR8" s="170"/>
      <c r="AS8" s="174"/>
      <c r="AT8" s="123"/>
      <c r="AU8" s="174"/>
      <c r="AV8" s="123"/>
      <c r="AW8" s="174"/>
      <c r="AX8" s="174"/>
      <c r="AY8" s="167"/>
      <c r="AZ8" s="175"/>
      <c r="BA8" s="353"/>
      <c r="BB8" s="176"/>
      <c r="BC8" s="176"/>
      <c r="BD8" s="353"/>
      <c r="BE8" s="176"/>
      <c r="BF8" s="176"/>
      <c r="BG8" s="354"/>
      <c r="BH8" s="125"/>
      <c r="BI8" s="80"/>
      <c r="BJ8" s="354"/>
      <c r="BK8" s="125"/>
      <c r="BL8" s="80"/>
      <c r="BM8" s="354"/>
      <c r="BN8" s="125"/>
      <c r="BO8" s="177"/>
      <c r="BP8" s="125"/>
      <c r="BQ8" s="177"/>
      <c r="BR8" s="177"/>
      <c r="BS8" s="80"/>
      <c r="BT8" s="353"/>
      <c r="BU8" s="176"/>
      <c r="BV8" s="176"/>
      <c r="BW8" s="353"/>
      <c r="BX8" s="176"/>
      <c r="BY8" s="176"/>
      <c r="BZ8" s="353"/>
      <c r="CA8" s="176"/>
      <c r="CB8" s="176"/>
      <c r="CC8" s="353"/>
      <c r="CD8" s="176"/>
      <c r="CE8" s="176"/>
      <c r="CF8" s="176"/>
      <c r="CG8" s="176"/>
      <c r="CH8" s="241"/>
      <c r="CI8" s="167"/>
    </row>
    <row r="9" spans="1:87">
      <c r="A9" s="3"/>
      <c r="B9" s="45" t="s">
        <v>239</v>
      </c>
      <c r="C9" s="150">
        <v>34269</v>
      </c>
      <c r="D9" s="47" t="s">
        <v>19</v>
      </c>
      <c r="E9" s="32">
        <v>160</v>
      </c>
      <c r="F9" s="32">
        <v>52</v>
      </c>
      <c r="G9" s="32">
        <v>68</v>
      </c>
      <c r="H9" s="136">
        <v>1.0669999999999999</v>
      </c>
      <c r="I9" s="151">
        <f>F9/(E9/100)^2</f>
        <v>20.312499999999996</v>
      </c>
      <c r="J9" s="10" t="s">
        <v>26</v>
      </c>
      <c r="K9" s="32">
        <f>((E9-F9)*E9)/(H9*2*G9)</f>
        <v>119.08043442306632</v>
      </c>
      <c r="L9" s="45" t="s">
        <v>239</v>
      </c>
      <c r="M9" s="32">
        <v>181</v>
      </c>
      <c r="N9" s="349">
        <v>6</v>
      </c>
      <c r="O9" s="30">
        <f>IF(M9=0,"",IF(M9&lt;170,2,IF(AND(M9&gt;=170,M9&lt;178),3,IF(AND(M9&gt;=178,M9&lt;185),4,IF(AND(M9&gt;=185),5)))))</f>
        <v>4</v>
      </c>
      <c r="P9" s="32">
        <v>4.9000000000000004</v>
      </c>
      <c r="Q9" s="40">
        <v>14</v>
      </c>
      <c r="R9" s="30">
        <f>IF(P9=0,"",IF(P9&gt;5.9,2,IF(AND(P9&lt;=5.9,P9&gt;5.5),3,IF(AND(P9&lt;=5.5,P9&gt;5.1),4,IF(AND(P9&lt;=5.1),5)))))</f>
        <v>5</v>
      </c>
      <c r="S9" s="32">
        <v>10.6</v>
      </c>
      <c r="T9" s="40">
        <v>8</v>
      </c>
      <c r="U9" s="30">
        <f>IF(S9=0,"",IF(S9&gt;11,2,IF(AND(S9&lt;=11,S9&gt;10.8),3,IF(AND(S9&lt;=10.8,S9&gt;10.4),4,IF(AND(S9&lt;=10.4),5)))))</f>
        <v>4</v>
      </c>
      <c r="V9" s="32">
        <v>1120</v>
      </c>
      <c r="W9" s="40">
        <v>5</v>
      </c>
      <c r="X9" s="30">
        <f>IF(V9=0,"",IF(V9&lt;1000,2,IF(AND(V9&gt;=1000,V9&lt;1110),3,IF(AND(V9&gt;=1110,V9&lt;1200),4,IF(AND(V9&gt;=1200),5)))))</f>
        <v>4</v>
      </c>
      <c r="Y9" s="40">
        <f>SUM(N9,Q9,T9,W9)</f>
        <v>33</v>
      </c>
      <c r="Z9" s="30">
        <f>IF(Y9=0,"",IF(Y9&lt;4,2,IF(AND(Y9&gt;=4,Y9&lt;16),3,IF(AND(Y9&gt;=16,Y9&lt;30),4,IF(AND(Y9&gt;=30),5)))))</f>
        <v>5</v>
      </c>
      <c r="AA9" s="141"/>
      <c r="AB9" s="45" t="s">
        <v>239</v>
      </c>
      <c r="AC9" s="32">
        <v>39</v>
      </c>
      <c r="AD9" s="40">
        <v>18</v>
      </c>
      <c r="AE9" s="30">
        <f>IF(AC9=0,"",IF(AC9&lt;25,2,IF(AND(AC9&gt;=25,AC9&lt;30),3,IF(AND(AC9&gt;=30,AC9&lt;35),4,IF(AND(AC9&gt;=35),5)))))</f>
        <v>5</v>
      </c>
      <c r="AF9" s="32">
        <v>21</v>
      </c>
      <c r="AG9" s="40">
        <v>20</v>
      </c>
      <c r="AH9" s="30">
        <f>IF(AF9=0,"",IF(AF9&lt;11,2,IF(AND(AF9&gt;=11,AF9&lt;14),3,IF(AND(AF9&gt;=14,AF9&lt;18),4,IF(AND(AF9&gt;=18),5)))))</f>
        <v>5</v>
      </c>
      <c r="AI9" s="32">
        <v>111</v>
      </c>
      <c r="AJ9" s="40">
        <v>7</v>
      </c>
      <c r="AK9" s="30">
        <f>IF(AI9=0,"",IF(AI9&lt;60,2,IF(AND(AI9&gt;=60,AI9&lt;90),3,IF(AND(AI9&gt;=90,AI9&lt;130),4,IF(AND(AI9&gt;=130),5)))))</f>
        <v>4</v>
      </c>
      <c r="AL9" s="32">
        <v>10</v>
      </c>
      <c r="AM9" s="40">
        <v>20</v>
      </c>
      <c r="AN9" s="30">
        <f>IF(AL9=0,"",IF(AL9&lt;2,2,IF(AND(AL9&gt;=2,AL9&lt;4),3,IF(AND(AL9&gt;=4,AL9&lt;7),4,IF(AND(AL9&gt;=7),5)))))</f>
        <v>5</v>
      </c>
      <c r="AO9" s="32">
        <v>13</v>
      </c>
      <c r="AP9" s="40">
        <v>13</v>
      </c>
      <c r="AQ9" s="30">
        <f>IF(AO9=0,"",IF(AO9&lt;1,2,IF(AND(AO9&gt;=1,AO9&lt;5),3,IF(AND(AO9&gt;=5,AO9&lt;10),4,IF(AND(AO9&gt;=10),5)))))</f>
        <v>5</v>
      </c>
      <c r="AR9" s="32">
        <v>8</v>
      </c>
      <c r="AS9" s="40">
        <v>8</v>
      </c>
      <c r="AT9" s="30">
        <f>IF(AR9=0,"",IF(AR9&lt;1,2,IF(AND(AR9&gt;=1,AR9&lt;5),3,IF(AND(AR9&gt;=5,AR9&lt;10),4,IF(AND(AR9&gt;=10),5)))))</f>
        <v>4</v>
      </c>
      <c r="AU9" s="40">
        <f>SUM(AD9,AG9,AJ9,AM9,AP9,AS9)</f>
        <v>86</v>
      </c>
      <c r="AV9" s="30">
        <f>IF(AU9=0,"",IF(AU9&lt;6,2,IF(AND(AU9&gt;=6,AU9&lt;20),3,IF(AND(AU9&gt;=20,AU9&lt;46),4,IF(AND(AU9&gt;=46),5)))))</f>
        <v>5</v>
      </c>
      <c r="AW9" s="40">
        <f>SUM(Y9,AU9)</f>
        <v>119</v>
      </c>
      <c r="AX9" s="141"/>
      <c r="AY9" s="45" t="s">
        <v>239</v>
      </c>
      <c r="AZ9" s="31"/>
      <c r="BA9" s="344"/>
      <c r="BB9" s="30"/>
      <c r="BC9" s="31"/>
      <c r="BD9" s="344"/>
      <c r="BE9" s="30"/>
      <c r="BF9" s="31">
        <v>20</v>
      </c>
      <c r="BG9" s="343">
        <v>20</v>
      </c>
      <c r="BH9" s="33">
        <f>IF(BF9=0,"",IF(BF9&lt;6,2,IF(AND(BF9&gt;=6,BF9&lt;8),3,IF(AND(BF9&gt;=8,BF9&lt;10),4,IF(AND(BF9&gt;=10),5)))))</f>
        <v>5</v>
      </c>
      <c r="BI9" s="65">
        <v>13.8</v>
      </c>
      <c r="BJ9" s="343">
        <v>9</v>
      </c>
      <c r="BK9" s="33">
        <f>IF(BI9=0,"",IF(BI9&gt;16,2,IF(AND(BI9&lt;=16,BI9&gt;14.6),3,IF(AND(BI9&lt;=14.6,BI9&gt;13.6),4,IF(AND(BI9&lt;=13.6),5)))))</f>
        <v>4</v>
      </c>
      <c r="BL9" s="65">
        <v>7</v>
      </c>
      <c r="BM9" s="343">
        <v>16</v>
      </c>
      <c r="BN9" s="33">
        <f>IF(BL9=0,"",IF(BL9&lt;3,2,IF(AND(BL9&gt;=3,BL9&lt;4),3,IF(AND(BL9&gt;=4,BL9&lt;6),4,IF(AND(BL9&gt;=6),5)))))</f>
        <v>5</v>
      </c>
      <c r="BO9" s="66">
        <f>SUM(BA9,BD9,BG9,BJ9,BM9)</f>
        <v>45</v>
      </c>
      <c r="BP9" s="33">
        <f>IF(BO9=0,"",IF(BO9&lt;5,2,IF(AND(BO9&gt;=5,BO9&lt;17),3,IF(AND(BO9&gt;=17,BO9&lt;40),4,IF(AND(BO9&gt;=40),5)))))</f>
        <v>5</v>
      </c>
      <c r="BQ9" s="66">
        <f>SUM(AW9,BO9)</f>
        <v>164</v>
      </c>
      <c r="BR9" s="41"/>
      <c r="BS9" s="65">
        <v>9.5</v>
      </c>
      <c r="BT9" s="344">
        <v>9</v>
      </c>
      <c r="BU9" s="30">
        <f>IF(BS9=0,"",IF(BS9&gt;10.5,2,IF(AND(BS9&lt;=10.5,BS9&gt;10),3,IF(AND(BS9&lt;=10,BS9&gt;9.4),4,IF(AND(BS9&lt;=9.4),5)))))</f>
        <v>4</v>
      </c>
      <c r="BV9" s="31">
        <v>15.28</v>
      </c>
      <c r="BW9" s="344">
        <v>0</v>
      </c>
      <c r="BX9" s="30">
        <f>IF(BV9=0,"",IF(BV9&gt;13,2,IF(AND(BV9&lt;=13,BV9&gt;12),3,IF(AND(BV9&lt;=12,BV9&gt;10.2),4,IF(AND(BV9&lt;=10.2),5)))))</f>
        <v>2</v>
      </c>
      <c r="BY9" s="31">
        <v>24</v>
      </c>
      <c r="BZ9" s="344">
        <v>6</v>
      </c>
      <c r="CA9" s="30">
        <f>IF(BY9=0,"",IF(BY9&lt;18,2,IF(AND(BY9&gt;=18,BY9&lt;23),3,IF(AND(BY9&gt;=23,BY9&lt;28),4,IF(AND(BY9&gt;=28),5)))))</f>
        <v>4</v>
      </c>
      <c r="CB9" s="31">
        <v>15</v>
      </c>
      <c r="CC9" s="344">
        <v>20</v>
      </c>
      <c r="CD9" s="30">
        <f>IF(CB9=0,"",IF(CB9&lt;3,2,IF(AND(CB9&gt;=3,CB9&lt;5),3,IF(AND(CB9&gt;=5,CB9&lt;9),4,IF(AND(CB9&gt;=9),5)))))</f>
        <v>5</v>
      </c>
      <c r="CE9" s="40">
        <f>SUM(BT9,BW9,BZ9,CC9)</f>
        <v>35</v>
      </c>
      <c r="CF9" s="30">
        <f>IF(CE9=0,"",IF(CE9&lt;4,2,IF(AND(CE9&gt;=4,CE9&lt;16),3,IF(AND(CE9&gt;=16,CE9&lt;30),4,IF(AND(CE9&gt;=30),5)))))</f>
        <v>5</v>
      </c>
      <c r="CG9" s="40">
        <f>SUM(BQ9,CE9)</f>
        <v>199</v>
      </c>
      <c r="CH9" s="141"/>
      <c r="CI9" s="45" t="s">
        <v>239</v>
      </c>
    </row>
    <row r="10" spans="1:87">
      <c r="A10" s="3"/>
      <c r="B10" s="32" t="s">
        <v>240</v>
      </c>
      <c r="C10" s="150">
        <v>34374</v>
      </c>
      <c r="D10" s="47" t="s">
        <v>19</v>
      </c>
      <c r="E10" s="32">
        <v>163</v>
      </c>
      <c r="F10" s="32">
        <v>60</v>
      </c>
      <c r="G10" s="32">
        <v>79</v>
      </c>
      <c r="H10" s="136">
        <v>1.091</v>
      </c>
      <c r="I10" s="151">
        <f>F10/(E10/100)^2</f>
        <v>22.582709172343712</v>
      </c>
      <c r="J10" s="43" t="s">
        <v>24</v>
      </c>
      <c r="K10" s="32">
        <f>((E10-F10)*E10)/(H10*2*G10)</f>
        <v>97.396419496687514</v>
      </c>
      <c r="L10" s="32" t="s">
        <v>240</v>
      </c>
      <c r="M10" s="3">
        <v>162</v>
      </c>
      <c r="N10" s="355">
        <v>0</v>
      </c>
      <c r="O10" s="30">
        <f>IF(M10=0,"",IF(M10&lt;170,2,IF(AND(M10&gt;=170,M10&lt;178),3,IF(AND(M10&gt;=178,M10&lt;185),4,IF(AND(M10&gt;=185),5)))))</f>
        <v>2</v>
      </c>
      <c r="P10" s="32">
        <v>5.0999999999999996</v>
      </c>
      <c r="Q10" s="40">
        <v>10</v>
      </c>
      <c r="R10" s="30">
        <f>IF(P10=0,"",IF(P10&gt;5.9,2,IF(AND(P10&lt;=5.9,P10&gt;5.5),3,IF(AND(P10&lt;=5.5,P10&gt;5.1),4,IF(AND(P10&lt;=5.1),5)))))</f>
        <v>5</v>
      </c>
      <c r="S10" s="32">
        <v>10.8</v>
      </c>
      <c r="T10" s="40">
        <v>5</v>
      </c>
      <c r="U10" s="30">
        <f>IF(S10=0,"",IF(S10&gt;11,2,IF(AND(S10&lt;=11,S10&gt;10.8),3,IF(AND(S10&lt;=10.8,S10&gt;10.4),4,IF(AND(S10&lt;=10.4),5)))))</f>
        <v>4</v>
      </c>
      <c r="V10" s="32">
        <v>1210</v>
      </c>
      <c r="W10" s="40">
        <v>11</v>
      </c>
      <c r="X10" s="30">
        <f>IF(V10=0,"",IF(V10&lt;1000,2,IF(AND(V10&gt;=1000,V10&lt;1110),3,IF(AND(V10&gt;=1110,V10&lt;1200),4,IF(AND(V10&gt;=1200),5)))))</f>
        <v>5</v>
      </c>
      <c r="Y10" s="40">
        <f>SUM(N10,Q10,T10,W10)</f>
        <v>26</v>
      </c>
      <c r="Z10" s="30">
        <f>IF(Y10=0,"",IF(Y10&lt;4,2,IF(AND(Y10&gt;=4,Y10&lt;16),3,IF(AND(Y10&gt;=16,Y10&lt;30),4,IF(AND(Y10&gt;=30),5)))))</f>
        <v>4</v>
      </c>
      <c r="AA10" s="41"/>
      <c r="AB10" s="32" t="s">
        <v>240</v>
      </c>
      <c r="AC10" s="32">
        <v>42</v>
      </c>
      <c r="AD10" s="40">
        <v>20</v>
      </c>
      <c r="AE10" s="30">
        <f>IF(AC10=0,"",IF(AC10&lt;25,2,IF(AND(AC10&gt;=25,AC10&lt;30),3,IF(AND(AC10&gt;=30,AC10&lt;35),4,IF(AND(AC10&gt;=35),5)))))</f>
        <v>5</v>
      </c>
      <c r="AF10" s="32">
        <v>15</v>
      </c>
      <c r="AG10" s="40">
        <v>7</v>
      </c>
      <c r="AH10" s="30">
        <f>IF(AF10=0,"",IF(AF10&lt;11,2,IF(AND(AF10&gt;=11,AF10&lt;14),3,IF(AND(AF10&gt;=14,AF10&lt;18),4,IF(AND(AF10&gt;=18),5)))))</f>
        <v>4</v>
      </c>
      <c r="AI10" s="32">
        <v>121</v>
      </c>
      <c r="AJ10" s="40">
        <v>8</v>
      </c>
      <c r="AK10" s="30">
        <f>IF(AI10=0,"",IF(AI10&lt;60,2,IF(AND(AI10&gt;=60,AI10&lt;90),3,IF(AND(AI10&gt;=90,AI10&lt;130),4,IF(AND(AI10&gt;=130),5)))))</f>
        <v>4</v>
      </c>
      <c r="AL10" s="32">
        <v>7</v>
      </c>
      <c r="AM10" s="40">
        <v>10</v>
      </c>
      <c r="AN10" s="30">
        <f>IF(AL10=0,"",IF(AL10&lt;2,2,IF(AND(AL10&gt;=2,AL10&lt;4),3,IF(AND(AL10&gt;=4,AL10&lt;7),4,IF(AND(AL10&gt;=7),5)))))</f>
        <v>5</v>
      </c>
      <c r="AO10" s="32">
        <v>12</v>
      </c>
      <c r="AP10" s="40">
        <v>12</v>
      </c>
      <c r="AQ10" s="30">
        <f>IF(AO10=0,"",IF(AO10&lt;1,2,IF(AND(AO10&gt;=1,AO10&lt;5),3,IF(AND(AO10&gt;=5,AO10&lt;10),4,IF(AND(AO10&gt;=10),5)))))</f>
        <v>5</v>
      </c>
      <c r="AR10" s="32">
        <v>8</v>
      </c>
      <c r="AS10" s="40">
        <v>8</v>
      </c>
      <c r="AT10" s="30">
        <f>IF(AR10=0,"",IF(AR10&lt;1,2,IF(AND(AR10&gt;=1,AR10&lt;5),3,IF(AND(AR10&gt;=5,AR10&lt;10),4,IF(AND(AR10&gt;=10),5)))))</f>
        <v>4</v>
      </c>
      <c r="AU10" s="40">
        <f>SUM(AD10,AG10,AJ10,AM10,AP10,AS10)</f>
        <v>65</v>
      </c>
      <c r="AV10" s="30">
        <f>IF(AU10=0,"",IF(AU10&lt;6,2,IF(AND(AU10&gt;=6,AU10&lt;20),3,IF(AND(AU10&gt;=20,AU10&lt;46),4,IF(AND(AU10&gt;=46),5)))))</f>
        <v>5</v>
      </c>
      <c r="AW10" s="40">
        <f>SUM(Y10,AU10)</f>
        <v>91</v>
      </c>
      <c r="AX10" s="41"/>
      <c r="AY10" s="32" t="s">
        <v>240</v>
      </c>
      <c r="AZ10" s="31"/>
      <c r="BA10" s="344"/>
      <c r="BB10" s="30"/>
      <c r="BC10" s="31"/>
      <c r="BD10" s="344"/>
      <c r="BE10" s="30"/>
      <c r="BF10" s="31">
        <v>20</v>
      </c>
      <c r="BG10" s="344">
        <v>20</v>
      </c>
      <c r="BH10" s="30">
        <f>IF(BF10=0,"",IF(BF10&lt;6,2,IF(AND(BF10&gt;=6,BF10&lt;8),3,IF(AND(BF10&gt;=8,BF10&lt;10),4,IF(AND(BF10&gt;=10),5)))))</f>
        <v>5</v>
      </c>
      <c r="BI10" s="31">
        <v>12.3</v>
      </c>
      <c r="BJ10" s="344">
        <v>19</v>
      </c>
      <c r="BK10" s="30">
        <f>IF(BI10=0,"",IF(BI10&gt;16,2,IF(AND(BI10&lt;=16,BI10&gt;14.6),3,IF(AND(BI10&lt;=14.6,BI10&gt;13.6),4,IF(AND(BI10&lt;=13.6),5)))))</f>
        <v>5</v>
      </c>
      <c r="BL10" s="31">
        <v>3</v>
      </c>
      <c r="BM10" s="344">
        <v>1</v>
      </c>
      <c r="BN10" s="30">
        <f>IF(BL10=0,"",IF(BL10&lt;3,2,IF(AND(BL10&gt;=3,BL10&lt;4),3,IF(AND(BL10&gt;=4,BL10&lt;6),4,IF(AND(BL10&gt;=6),5)))))</f>
        <v>3</v>
      </c>
      <c r="BO10" s="40">
        <f>SUM(BA10,BD10,BG10,BJ10,BM10)</f>
        <v>40</v>
      </c>
      <c r="BP10" s="30">
        <f>IF(BO10=0,"",IF(BO10&lt;5,2,IF(AND(BO10&gt;=5,BO10&lt;17),3,IF(AND(BO10&gt;=17,BO10&lt;40),4,IF(AND(BO10&gt;=40),5)))))</f>
        <v>5</v>
      </c>
      <c r="BQ10" s="40">
        <f>SUM(AW10,BO10)</f>
        <v>131</v>
      </c>
      <c r="BR10" s="41"/>
      <c r="BS10" s="31">
        <v>10.1</v>
      </c>
      <c r="BT10" s="344">
        <v>4</v>
      </c>
      <c r="BU10" s="30">
        <f>IF(BS10=0,"",IF(BS10&gt;10.5,2,IF(AND(BS10&lt;=10.5,BS10&gt;10),3,IF(AND(BS10&lt;=10,BS10&gt;9.4),4,IF(AND(BS10&lt;=9.4),5)))))</f>
        <v>3</v>
      </c>
      <c r="BV10" s="31">
        <v>12.22</v>
      </c>
      <c r="BW10" s="344">
        <v>3</v>
      </c>
      <c r="BX10" s="30">
        <f>IF(BV10=0,"",IF(BV10&gt;13,2,IF(AND(BV10&lt;=13,BV10&gt;12),3,IF(AND(BV10&lt;=12,BV10&gt;10.2),4,IF(AND(BV10&lt;=10.2),5)))))</f>
        <v>3</v>
      </c>
      <c r="BY10" s="31">
        <v>25</v>
      </c>
      <c r="BZ10" s="344">
        <v>7</v>
      </c>
      <c r="CA10" s="30">
        <f>IF(BY10=0,"",IF(BY10&lt;18,2,IF(AND(BY10&gt;=18,BY10&lt;23),3,IF(AND(BY10&gt;=23,BY10&lt;28),4,IF(AND(BY10&gt;=28),5)))))</f>
        <v>4</v>
      </c>
      <c r="CB10" s="31">
        <v>13</v>
      </c>
      <c r="CC10" s="344">
        <v>18</v>
      </c>
      <c r="CD10" s="30">
        <f>IF(CB10=0,"",IF(CB10&lt;3,2,IF(AND(CB10&gt;=3,CB10&lt;5),3,IF(AND(CB10&gt;=5,CB10&lt;9),4,IF(AND(CB10&gt;=9),5)))))</f>
        <v>5</v>
      </c>
      <c r="CE10" s="40">
        <f>SUM(BT10,BW10,BZ10,CC10)</f>
        <v>32</v>
      </c>
      <c r="CF10" s="30">
        <f>IF(CE10=0,"",IF(CE10&lt;4,2,IF(AND(CE10&gt;=4,CE10&lt;16),3,IF(AND(CE10&gt;=16,CE10&lt;30),4,IF(AND(CE10&gt;=30),5)))))</f>
        <v>5</v>
      </c>
      <c r="CG10" s="40">
        <f>SUM(BQ10,CE10)</f>
        <v>163</v>
      </c>
      <c r="CH10" s="41"/>
      <c r="CI10" s="32" t="s">
        <v>240</v>
      </c>
    </row>
    <row r="11" spans="1:87">
      <c r="A11" s="3"/>
      <c r="B11" s="32" t="s">
        <v>241</v>
      </c>
      <c r="C11" s="150">
        <v>34311</v>
      </c>
      <c r="D11" s="47" t="s">
        <v>19</v>
      </c>
      <c r="E11" s="32">
        <v>170</v>
      </c>
      <c r="F11" s="32">
        <v>47</v>
      </c>
      <c r="G11" s="32">
        <v>66</v>
      </c>
      <c r="H11" s="136">
        <v>1.0669999999999999</v>
      </c>
      <c r="I11" s="151">
        <f>F11/(E11/100)^2</f>
        <v>16.262975778546714</v>
      </c>
      <c r="J11" s="43" t="s">
        <v>82</v>
      </c>
      <c r="K11" s="32">
        <f>((E11-F11)*E11)/(H11*2*G11)</f>
        <v>148.46212831217517</v>
      </c>
      <c r="L11" s="32" t="s">
        <v>241</v>
      </c>
      <c r="M11" s="32">
        <v>161</v>
      </c>
      <c r="N11" s="349">
        <v>0</v>
      </c>
      <c r="O11" s="30">
        <f>IF(M11=0,"",IF(M11&lt;170,2,IF(AND(M11&gt;=170,M11&lt;178),3,IF(AND(M11&gt;=178,M11&lt;185),4,IF(AND(M11&gt;=185),5)))))</f>
        <v>2</v>
      </c>
      <c r="P11" s="32">
        <v>5.0999999999999996</v>
      </c>
      <c r="Q11" s="40">
        <v>10</v>
      </c>
      <c r="R11" s="30">
        <f>IF(P11=0,"",IF(P11&gt;5.9,2,IF(AND(P11&lt;=5.9,P11&gt;5.5),3,IF(AND(P11&lt;=5.5,P11&gt;5.1),4,IF(AND(P11&lt;=5.1),5)))))</f>
        <v>5</v>
      </c>
      <c r="S11" s="32">
        <v>10.8</v>
      </c>
      <c r="T11" s="40">
        <v>5</v>
      </c>
      <c r="U11" s="30">
        <f>IF(S11=0,"",IF(S11&gt;11,2,IF(AND(S11&lt;=11,S11&gt;10.8),3,IF(AND(S11&lt;=10.8,S11&gt;10.4),4,IF(AND(S11&lt;=10.4),5)))))</f>
        <v>4</v>
      </c>
      <c r="V11" s="32">
        <v>1285</v>
      </c>
      <c r="W11" s="40">
        <v>18</v>
      </c>
      <c r="X11" s="30">
        <f>IF(V11=0,"",IF(V11&lt;1000,2,IF(AND(V11&gt;=1000,V11&lt;1110),3,IF(AND(V11&gt;=1110,V11&lt;1200),4,IF(AND(V11&gt;=1200),5)))))</f>
        <v>5</v>
      </c>
      <c r="Y11" s="40">
        <f>SUM(N11,Q11,T11,W11)</f>
        <v>33</v>
      </c>
      <c r="Z11" s="30">
        <f>IF(Y11=0,"",IF(Y11&lt;4,2,IF(AND(Y11&gt;=4,Y11&lt;16),3,IF(AND(Y11&gt;=16,Y11&lt;30),4,IF(AND(Y11&gt;=30),5)))))</f>
        <v>5</v>
      </c>
      <c r="AA11" s="41"/>
      <c r="AB11" s="32" t="s">
        <v>241</v>
      </c>
      <c r="AC11" s="32">
        <v>35</v>
      </c>
      <c r="AD11" s="40">
        <v>10</v>
      </c>
      <c r="AE11" s="30">
        <f>IF(AC11=0,"",IF(AC11&lt;25,2,IF(AND(AC11&gt;=25,AC11&lt;30),3,IF(AND(AC11&gt;=30,AC11&lt;35),4,IF(AND(AC11&gt;=35),5)))))</f>
        <v>5</v>
      </c>
      <c r="AF11" s="32">
        <v>7</v>
      </c>
      <c r="AG11" s="40">
        <v>0</v>
      </c>
      <c r="AH11" s="30">
        <f>IF(AF11=0,"",IF(AF11&lt;11,2,IF(AND(AF11&gt;=11,AF11&lt;14),3,IF(AND(AF11&gt;=14,AF11&lt;18),4,IF(AND(AF11&gt;=18),5)))))</f>
        <v>2</v>
      </c>
      <c r="AI11" s="32">
        <v>130</v>
      </c>
      <c r="AJ11" s="40">
        <v>10</v>
      </c>
      <c r="AK11" s="30">
        <f>IF(AI11=0,"",IF(AI11&lt;60,2,IF(AND(AI11&gt;=60,AI11&lt;90),3,IF(AND(AI11&gt;=90,AI11&lt;130),4,IF(AND(AI11&gt;=130),5)))))</f>
        <v>5</v>
      </c>
      <c r="AL11" s="32">
        <v>5</v>
      </c>
      <c r="AM11" s="40">
        <v>7</v>
      </c>
      <c r="AN11" s="30">
        <f>IF(AL11=0,"",IF(AL11&lt;2,2,IF(AND(AL11&gt;=2,AL11&lt;4),3,IF(AND(AL11&gt;=4,AL11&lt;7),4,IF(AND(AL11&gt;=7),5)))))</f>
        <v>4</v>
      </c>
      <c r="AO11" s="32">
        <v>9</v>
      </c>
      <c r="AP11" s="40">
        <v>9</v>
      </c>
      <c r="AQ11" s="30">
        <f>IF(AO11=0,"",IF(AO11&lt;1,2,IF(AND(AO11&gt;=1,AO11&lt;5),3,IF(AND(AO11&gt;=5,AO11&lt;10),4,IF(AND(AO11&gt;=10),5)))))</f>
        <v>4</v>
      </c>
      <c r="AR11" s="32">
        <v>10</v>
      </c>
      <c r="AS11" s="40">
        <v>10</v>
      </c>
      <c r="AT11" s="30">
        <f>IF(AR11=0,"",IF(AR11&lt;1,2,IF(AND(AR11&gt;=1,AR11&lt;5),3,IF(AND(AR11&gt;=5,AR11&lt;10),4,IF(AND(AR11&gt;=10),5)))))</f>
        <v>5</v>
      </c>
      <c r="AU11" s="40">
        <f>SUM(AD11,AG11,AJ11,AM11,AP11,AS11)</f>
        <v>46</v>
      </c>
      <c r="AV11" s="30">
        <f>IF(AU11=0,"",IF(AU11&lt;6,2,IF(AND(AU11&gt;=6,AU11&lt;20),3,IF(AND(AU11&gt;=20,AU11&lt;46),4,IF(AND(AU11&gt;=46),5)))))</f>
        <v>5</v>
      </c>
      <c r="AW11" s="40">
        <f>SUM(Y11,AU11)</f>
        <v>79</v>
      </c>
      <c r="AX11" s="41"/>
      <c r="AY11" s="32" t="s">
        <v>241</v>
      </c>
      <c r="AZ11" s="31">
        <v>10.19</v>
      </c>
      <c r="BA11" s="344">
        <v>0</v>
      </c>
      <c r="BB11" s="30">
        <v>2</v>
      </c>
      <c r="BC11" s="31">
        <v>21.01</v>
      </c>
      <c r="BD11" s="344">
        <v>0</v>
      </c>
      <c r="BE11" s="30">
        <v>2</v>
      </c>
      <c r="BF11" s="31">
        <v>20</v>
      </c>
      <c r="BG11" s="344">
        <v>20</v>
      </c>
      <c r="BH11" s="30">
        <f>IF(BF11=0,"",IF(BF11&lt;6,2,IF(AND(BF11&gt;=6,BF11&lt;8),3,IF(AND(BF11&gt;=8,BF11&lt;10),4,IF(AND(BF11&gt;=10),5)))))</f>
        <v>5</v>
      </c>
      <c r="BI11" s="31">
        <v>12.4</v>
      </c>
      <c r="BJ11" s="344">
        <v>18</v>
      </c>
      <c r="BK11" s="30">
        <f>IF(BI11=0,"",IF(BI11&gt;16,2,IF(AND(BI11&lt;=16,BI11&gt;14.6),3,IF(AND(BI11&lt;=14.6,BI11&gt;13.6),4,IF(AND(BI11&lt;=13.6),5)))))</f>
        <v>5</v>
      </c>
      <c r="BL11" s="31">
        <v>4</v>
      </c>
      <c r="BM11" s="344">
        <v>5</v>
      </c>
      <c r="BN11" s="30">
        <f>IF(BL11=0,"",IF(BL11&lt;3,2,IF(AND(BL11&gt;=3,BL11&lt;4),3,IF(AND(BL11&gt;=4,BL11&lt;6),4,IF(AND(BL11&gt;=6),5)))))</f>
        <v>4</v>
      </c>
      <c r="BO11" s="40">
        <f>SUM(BA11,BD11,BG11,BJ11,BM11)</f>
        <v>43</v>
      </c>
      <c r="BP11" s="30">
        <f>IF(BO11=0,"",IF(BO11&lt;5,2,IF(AND(BO11&gt;=5,BO11&lt;17),3,IF(AND(BO11&gt;=17,BO11&lt;40),4,IF(AND(BO11&gt;=40),5)))))</f>
        <v>5</v>
      </c>
      <c r="BQ11" s="40">
        <f>SUM(AW11,BO11)</f>
        <v>122</v>
      </c>
      <c r="BR11" s="41"/>
      <c r="BS11" s="31">
        <v>10.3</v>
      </c>
      <c r="BT11" s="344">
        <v>2</v>
      </c>
      <c r="BU11" s="30">
        <f>IF(BS11=0,"",IF(BS11&gt;10.5,2,IF(AND(BS11&lt;=10.5,BS11&gt;10),3,IF(AND(BS11&lt;=10,BS11&gt;9.4),4,IF(AND(BS11&lt;=9.4),5)))))</f>
        <v>3</v>
      </c>
      <c r="BV11" s="31">
        <v>10.31</v>
      </c>
      <c r="BW11" s="344">
        <v>9</v>
      </c>
      <c r="BX11" s="30">
        <f>IF(BV11=0,"",IF(BV11&gt;13,2,IF(AND(BV11&lt;=13,BV11&gt;12),3,IF(AND(BV11&lt;=12,BV11&gt;10.2),4,IF(AND(BV11&lt;=10.2),5)))))</f>
        <v>4</v>
      </c>
      <c r="BY11" s="31">
        <v>23</v>
      </c>
      <c r="BZ11" s="344">
        <v>5</v>
      </c>
      <c r="CA11" s="30">
        <f>IF(BY11=0,"",IF(BY11&lt;18,2,IF(AND(BY11&gt;=18,BY11&lt;23),3,IF(AND(BY11&gt;=23,BY11&lt;28),4,IF(AND(BY11&gt;=28),5)))))</f>
        <v>4</v>
      </c>
      <c r="CB11" s="31">
        <v>15</v>
      </c>
      <c r="CC11" s="344">
        <v>20</v>
      </c>
      <c r="CD11" s="30">
        <f>IF(CB11=0,"",IF(CB11&lt;3,2,IF(AND(CB11&gt;=3,CB11&lt;5),3,IF(AND(CB11&gt;=5,CB11&lt;9),4,IF(AND(CB11&gt;=9),5)))))</f>
        <v>5</v>
      </c>
      <c r="CE11" s="40">
        <f>SUM(BT11,BW11,BZ11,CC11)</f>
        <v>36</v>
      </c>
      <c r="CF11" s="30">
        <f>IF(CE11=0,"",IF(CE11&lt;4,2,IF(AND(CE11&gt;=4,CE11&lt;16),3,IF(AND(CE11&gt;=16,CE11&lt;30),4,IF(AND(CE11&gt;=30),5)))))</f>
        <v>5</v>
      </c>
      <c r="CG11" s="40">
        <f>SUM(BQ11,CE11)</f>
        <v>158</v>
      </c>
      <c r="CH11" s="41"/>
      <c r="CI11" s="32" t="s">
        <v>241</v>
      </c>
    </row>
    <row r="12" spans="1:87">
      <c r="A12" s="3"/>
      <c r="B12" s="32" t="s">
        <v>242</v>
      </c>
      <c r="C12" s="150">
        <v>34192</v>
      </c>
      <c r="D12" s="47" t="s">
        <v>19</v>
      </c>
      <c r="E12" s="32">
        <v>162</v>
      </c>
      <c r="F12" s="32">
        <v>60</v>
      </c>
      <c r="G12" s="32">
        <v>80</v>
      </c>
      <c r="H12" s="136">
        <v>1.0669999999999999</v>
      </c>
      <c r="I12" s="151">
        <f>F12/(E12/100)^2</f>
        <v>22.862368541380881</v>
      </c>
      <c r="J12" s="43" t="s">
        <v>24</v>
      </c>
      <c r="K12" s="32">
        <f>((E12-F12)*E12)/(H12*2*G12)</f>
        <v>96.790065604498594</v>
      </c>
      <c r="L12" s="32" t="s">
        <v>242</v>
      </c>
      <c r="M12" s="32">
        <v>170</v>
      </c>
      <c r="N12" s="349">
        <v>1</v>
      </c>
      <c r="O12" s="30">
        <f>IF(M12=0,"",IF(M12&lt;170,2,IF(AND(M12&gt;=170,M12&lt;178),3,IF(AND(M12&gt;=178,M12&lt;185),4,IF(AND(M12&gt;=185),5)))))</f>
        <v>3</v>
      </c>
      <c r="P12" s="32">
        <v>5.0999999999999996</v>
      </c>
      <c r="Q12" s="40">
        <v>10</v>
      </c>
      <c r="R12" s="30">
        <f>IF(P12=0,"",IF(P12&gt;5.9,2,IF(AND(P12&lt;=5.9,P12&gt;5.5),3,IF(AND(P12&lt;=5.5,P12&gt;5.1),4,IF(AND(P12&lt;=5.1),5)))))</f>
        <v>5</v>
      </c>
      <c r="S12" s="32">
        <v>11.1</v>
      </c>
      <c r="T12" s="40">
        <v>0</v>
      </c>
      <c r="U12" s="30">
        <f>IF(S12=0,"",IF(S12&gt;11,2,IF(AND(S12&lt;=11,S12&gt;10.8),3,IF(AND(S12&lt;=10.8,S12&gt;10.4),4,IF(AND(S12&lt;=10.4),5)))))</f>
        <v>2</v>
      </c>
      <c r="V12" s="32">
        <v>1270</v>
      </c>
      <c r="W12" s="40">
        <v>17</v>
      </c>
      <c r="X12" s="30">
        <f>IF(V12=0,"",IF(V12&lt;1000,2,IF(AND(V12&gt;=1000,V12&lt;1110),3,IF(AND(V12&gt;=1110,V12&lt;1200),4,IF(AND(V12&gt;=1200),5)))))</f>
        <v>5</v>
      </c>
      <c r="Y12" s="40">
        <f>SUM(N12,Q12,T12,W12)</f>
        <v>28</v>
      </c>
      <c r="Z12" s="30">
        <f>IF(Y12=0,"",IF(Y12&lt;4,2,IF(AND(Y12&gt;=4,Y12&lt;16),3,IF(AND(Y12&gt;=16,Y12&lt;30),4,IF(AND(Y12&gt;=30),5)))))</f>
        <v>4</v>
      </c>
      <c r="AA12" s="41"/>
      <c r="AB12" s="32" t="s">
        <v>242</v>
      </c>
      <c r="AC12" s="32">
        <v>31</v>
      </c>
      <c r="AD12" s="40">
        <v>6</v>
      </c>
      <c r="AE12" s="30">
        <f>IF(AC12=0,"",IF(AC12&lt;25,2,IF(AND(AC12&gt;=25,AC12&lt;30),3,IF(AND(AC12&gt;=30,AC12&lt;35),4,IF(AND(AC12&gt;=35),5)))))</f>
        <v>4</v>
      </c>
      <c r="AF12" s="32">
        <v>3</v>
      </c>
      <c r="AG12" s="40">
        <v>0</v>
      </c>
      <c r="AH12" s="30">
        <f>IF(AF12=0,"",IF(AF12&lt;11,2,IF(AND(AF12&gt;=11,AF12&lt;14),3,IF(AND(AF12&gt;=14,AF12&lt;18),4,IF(AND(AF12&gt;=18),5)))))</f>
        <v>2</v>
      </c>
      <c r="AI12" s="32">
        <v>106</v>
      </c>
      <c r="AJ12" s="40">
        <v>6</v>
      </c>
      <c r="AK12" s="30">
        <f>IF(AI12=0,"",IF(AI12&lt;60,2,IF(AND(AI12&gt;=60,AI12&lt;90),3,IF(AND(AI12&gt;=90,AI12&lt;130),4,IF(AND(AI12&gt;=130),5)))))</f>
        <v>4</v>
      </c>
      <c r="AL12" s="32">
        <v>8</v>
      </c>
      <c r="AM12" s="40">
        <v>14</v>
      </c>
      <c r="AN12" s="30">
        <f>IF(AL12=0,"",IF(AL12&lt;2,2,IF(AND(AL12&gt;=2,AL12&lt;4),3,IF(AND(AL12&gt;=4,AL12&lt;7),4,IF(AND(AL12&gt;=7),5)))))</f>
        <v>5</v>
      </c>
      <c r="AO12" s="32"/>
      <c r="AP12" s="40"/>
      <c r="AQ12" s="30" t="str">
        <f>IF(AO12=0,"",IF(AO12&lt;1,2,IF(AND(AO12&gt;=1,AO12&lt;5),3,IF(AND(AO12&gt;=5,AO12&lt;10),4,IF(AND(AO12&gt;=10),5)))))</f>
        <v/>
      </c>
      <c r="AR12" s="32">
        <v>8</v>
      </c>
      <c r="AS12" s="40">
        <v>8</v>
      </c>
      <c r="AT12" s="30">
        <f>IF(AR12=0,"",IF(AR12&lt;1,2,IF(AND(AR12&gt;=1,AR12&lt;5),3,IF(AND(AR12&gt;=5,AR12&lt;10),4,IF(AND(AR12&gt;=10),5)))))</f>
        <v>4</v>
      </c>
      <c r="AU12" s="40">
        <f>SUM(AD12,AG12,AJ12,AM12,AP12,AS12)</f>
        <v>34</v>
      </c>
      <c r="AV12" s="30">
        <f>IF(AU12=0,"",IF(AU12&lt;6,2,IF(AND(AU12&gt;=6,AU12&lt;20),3,IF(AND(AU12&gt;=20,AU12&lt;46),4,IF(AND(AU12&gt;=46),5)))))</f>
        <v>4</v>
      </c>
      <c r="AW12" s="40">
        <f>SUM(Y12,AU12)</f>
        <v>62</v>
      </c>
      <c r="AX12" s="41"/>
      <c r="AY12" s="32" t="s">
        <v>242</v>
      </c>
      <c r="AZ12" s="31"/>
      <c r="BA12" s="344"/>
      <c r="BB12" s="30"/>
      <c r="BC12" s="31"/>
      <c r="BD12" s="344"/>
      <c r="BE12" s="30"/>
      <c r="BF12" s="31">
        <v>8</v>
      </c>
      <c r="BG12" s="344">
        <v>7</v>
      </c>
      <c r="BH12" s="30">
        <f>IF(BF12=0,"",IF(BF12&lt;6,2,IF(AND(BF12&gt;=6,BF12&lt;8),3,IF(AND(BF12&gt;=8,BF12&lt;10),4,IF(AND(BF12&gt;=10),5)))))</f>
        <v>4</v>
      </c>
      <c r="BI12" s="31">
        <v>13.4</v>
      </c>
      <c r="BJ12" s="344">
        <v>11</v>
      </c>
      <c r="BK12" s="30">
        <f>IF(BI12=0,"",IF(BI12&gt;16,2,IF(AND(BI12&lt;=16,BI12&gt;14.6),3,IF(AND(BI12&lt;=14.6,BI12&gt;13.6),4,IF(AND(BI12&lt;=13.6),5)))))</f>
        <v>5</v>
      </c>
      <c r="BL12" s="31">
        <v>1</v>
      </c>
      <c r="BM12" s="344">
        <v>0</v>
      </c>
      <c r="BN12" s="30">
        <f>IF(BL12=0,"",IF(BL12&lt;3,2,IF(AND(BL12&gt;=3,BL12&lt;4),3,IF(AND(BL12&gt;=4,BL12&lt;6),4,IF(AND(BL12&gt;=6),5)))))</f>
        <v>2</v>
      </c>
      <c r="BO12" s="40">
        <f>SUM(BA12,BD12,BG12,BJ12,BM12)</f>
        <v>18</v>
      </c>
      <c r="BP12" s="30">
        <f>IF(BO12=0,"",IF(BO12&lt;5,2,IF(AND(BO12&gt;=5,BO12&lt;17),3,IF(AND(BO12&gt;=17,BO12&lt;40),4,IF(AND(BO12&gt;=40),5)))))</f>
        <v>4</v>
      </c>
      <c r="BQ12" s="40">
        <f>SUM(AW12,BO12)</f>
        <v>80</v>
      </c>
      <c r="BR12" s="41"/>
      <c r="BS12" s="31">
        <v>10.1</v>
      </c>
      <c r="BT12" s="344">
        <v>4</v>
      </c>
      <c r="BU12" s="30">
        <f>IF(BS12=0,"",IF(BS12&gt;10.5,2,IF(AND(BS12&lt;=10.5,BS12&gt;10),3,IF(AND(BS12&lt;=10,BS12&gt;9.4),4,IF(AND(BS12&lt;=9.4),5)))))</f>
        <v>3</v>
      </c>
      <c r="BV12" s="31">
        <v>10.55</v>
      </c>
      <c r="BW12" s="344">
        <v>8</v>
      </c>
      <c r="BX12" s="30">
        <f>IF(BV12=0,"",IF(BV12&gt;13,2,IF(AND(BV12&lt;=13,BV12&gt;12),3,IF(AND(BV12&lt;=12,BV12&gt;10.2),4,IF(AND(BV12&lt;=10.2),5)))))</f>
        <v>4</v>
      </c>
      <c r="BY12" s="31">
        <v>18</v>
      </c>
      <c r="BZ12" s="344">
        <v>1</v>
      </c>
      <c r="CA12" s="30">
        <f>IF(BY12=0,"",IF(BY12&lt;18,2,IF(AND(BY12&gt;=18,BY12&lt;23),3,IF(AND(BY12&gt;=23,BY12&lt;28),4,IF(AND(BY12&gt;=28),5)))))</f>
        <v>3</v>
      </c>
      <c r="CB12" s="31">
        <v>14</v>
      </c>
      <c r="CC12" s="344">
        <v>16</v>
      </c>
      <c r="CD12" s="30">
        <f>IF(CB12=0,"",IF(CB12&lt;3,2,IF(AND(CB12&gt;=3,CB12&lt;5),3,IF(AND(CB12&gt;=5,CB12&lt;9),4,IF(AND(CB12&gt;=9),5)))))</f>
        <v>5</v>
      </c>
      <c r="CE12" s="40">
        <f>SUM(BT12,BW12,BZ12,CC12)</f>
        <v>29</v>
      </c>
      <c r="CF12" s="30">
        <f>IF(CE12=0,"",IF(CE12&lt;4,2,IF(AND(CE12&gt;=4,CE12&lt;16),3,IF(AND(CE12&gt;=16,CE12&lt;30),4,IF(AND(CE12&gt;=30),5)))))</f>
        <v>4</v>
      </c>
      <c r="CG12" s="40">
        <f>SUM(BQ12,CE12)</f>
        <v>109</v>
      </c>
      <c r="CH12" s="41"/>
      <c r="CI12" s="32" t="s">
        <v>242</v>
      </c>
    </row>
    <row r="13" spans="1:87">
      <c r="A13" s="3"/>
      <c r="B13" s="32" t="s">
        <v>243</v>
      </c>
      <c r="C13" s="150">
        <v>33907</v>
      </c>
      <c r="D13" s="47" t="s">
        <v>19</v>
      </c>
      <c r="E13" s="32">
        <v>151</v>
      </c>
      <c r="F13" s="32">
        <v>66</v>
      </c>
      <c r="G13" s="32">
        <v>84</v>
      </c>
      <c r="H13" s="136">
        <v>1.036</v>
      </c>
      <c r="I13" s="151">
        <f>F13/(E13/100)^2</f>
        <v>28.946098855313362</v>
      </c>
      <c r="J13" s="10" t="s">
        <v>21</v>
      </c>
      <c r="K13" s="32">
        <f>((E13-F13)*E13)/(H13*2*G13)</f>
        <v>73.744024636881775</v>
      </c>
      <c r="L13" s="32" t="s">
        <v>243</v>
      </c>
      <c r="M13" s="32">
        <v>151</v>
      </c>
      <c r="N13" s="349">
        <v>0</v>
      </c>
      <c r="O13" s="30">
        <f>IF(M13=0,"",IF(M13&lt;170,2,IF(AND(M13&gt;=170,M13&lt;178),3,IF(AND(M13&gt;=178,M13&lt;185),4,IF(AND(M13&gt;=185),5)))))</f>
        <v>2</v>
      </c>
      <c r="P13" s="32">
        <v>5.4</v>
      </c>
      <c r="Q13" s="40">
        <v>6</v>
      </c>
      <c r="R13" s="30">
        <f>IF(P13=0,"",IF(P13&gt;5.9,2,IF(AND(P13&lt;=5.9,P13&gt;5.5),3,IF(AND(P13&lt;=5.5,P13&gt;5.1),4,IF(AND(P13&lt;=5.1),5)))))</f>
        <v>4</v>
      </c>
      <c r="S13" s="32">
        <v>11.3</v>
      </c>
      <c r="T13" s="40">
        <v>0</v>
      </c>
      <c r="U13" s="30">
        <f>IF(S13=0,"",IF(S13&gt;11,2,IF(AND(S13&lt;=11,S13&gt;10.8),3,IF(AND(S13&lt;=10.8,S13&gt;10.4),4,IF(AND(S13&lt;=10.4),5)))))</f>
        <v>2</v>
      </c>
      <c r="V13" s="32">
        <v>1225</v>
      </c>
      <c r="W13" s="40">
        <v>12</v>
      </c>
      <c r="X13" s="30">
        <f>IF(V13=0,"",IF(V13&lt;1000,2,IF(AND(V13&gt;=1000,V13&lt;1110),3,IF(AND(V13&gt;=1110,V13&lt;1200),4,IF(AND(V13&gt;=1200),5)))))</f>
        <v>5</v>
      </c>
      <c r="Y13" s="40">
        <f>SUM(N13,Q13,T13,W13)</f>
        <v>18</v>
      </c>
      <c r="Z13" s="30">
        <f>IF(Y13=0,"",IF(Y13&lt;4,2,IF(AND(Y13&gt;=4,Y13&lt;16),3,IF(AND(Y13&gt;=16,Y13&lt;30),4,IF(AND(Y13&gt;=30),5)))))</f>
        <v>4</v>
      </c>
      <c r="AA13" s="41"/>
      <c r="AB13" s="32" t="s">
        <v>243</v>
      </c>
      <c r="AC13" s="32">
        <v>30</v>
      </c>
      <c r="AD13" s="40">
        <v>5</v>
      </c>
      <c r="AE13" s="30">
        <f>IF(AC13=0,"",IF(AC13&lt;25,2,IF(AND(AC13&gt;=25,AC13&lt;30),3,IF(AND(AC13&gt;=30,AC13&lt;35),4,IF(AND(AC13&gt;=35),5)))))</f>
        <v>4</v>
      </c>
      <c r="AF13" s="32">
        <v>14</v>
      </c>
      <c r="AG13" s="40">
        <v>5</v>
      </c>
      <c r="AH13" s="30">
        <f>IF(AF13=0,"",IF(AF13&lt;11,2,IF(AND(AF13&gt;=11,AF13&lt;14),3,IF(AND(AF13&gt;=14,AF13&lt;18),4,IF(AND(AF13&gt;=18),5)))))</f>
        <v>4</v>
      </c>
      <c r="AI13" s="32">
        <v>105</v>
      </c>
      <c r="AJ13" s="40">
        <v>6</v>
      </c>
      <c r="AK13" s="30">
        <f>IF(AI13=0,"",IF(AI13&lt;60,2,IF(AND(AI13&gt;=60,AI13&lt;90),3,IF(AND(AI13&gt;=90,AI13&lt;130),4,IF(AND(AI13&gt;=130),5)))))</f>
        <v>4</v>
      </c>
      <c r="AL13" s="32">
        <v>1</v>
      </c>
      <c r="AM13" s="40">
        <v>0</v>
      </c>
      <c r="AN13" s="30">
        <f>IF(AL13=0,"",IF(AL13&lt;2,2,IF(AND(AL13&gt;=2,AL13&lt;4),3,IF(AND(AL13&gt;=4,AL13&lt;7),4,IF(AND(AL13&gt;=7),5)))))</f>
        <v>2</v>
      </c>
      <c r="AO13" s="32">
        <v>4</v>
      </c>
      <c r="AP13" s="40">
        <v>4</v>
      </c>
      <c r="AQ13" s="30">
        <f>IF(AO13=0,"",IF(AO13&lt;1,2,IF(AND(AO13&gt;=1,AO13&lt;5),3,IF(AND(AO13&gt;=5,AO13&lt;10),4,IF(AND(AO13&gt;=10),5)))))</f>
        <v>3</v>
      </c>
      <c r="AR13" s="32">
        <v>5</v>
      </c>
      <c r="AS13" s="40">
        <v>5</v>
      </c>
      <c r="AT13" s="30">
        <f>IF(AR13=0,"",IF(AR13&lt;1,2,IF(AND(AR13&gt;=1,AR13&lt;5),3,IF(AND(AR13&gt;=5,AR13&lt;10),4,IF(AND(AR13&gt;=10),5)))))</f>
        <v>4</v>
      </c>
      <c r="AU13" s="40">
        <f>SUM(AD13,AG13,AJ13,AM13,AP13,AS13)</f>
        <v>25</v>
      </c>
      <c r="AV13" s="30">
        <f>IF(AU13=0,"",IF(AU13&lt;6,2,IF(AND(AU13&gt;=6,AU13&lt;20),3,IF(AND(AU13&gt;=20,AU13&lt;46),4,IF(AND(AU13&gt;=46),5)))))</f>
        <v>4</v>
      </c>
      <c r="AW13" s="40">
        <f>SUM(Y13,AU13)</f>
        <v>43</v>
      </c>
      <c r="AX13" s="41"/>
      <c r="AY13" s="32" t="s">
        <v>243</v>
      </c>
      <c r="AZ13" s="31">
        <v>10.19</v>
      </c>
      <c r="BA13" s="344">
        <v>0</v>
      </c>
      <c r="BB13" s="30">
        <v>2</v>
      </c>
      <c r="BC13" s="31">
        <v>21.11</v>
      </c>
      <c r="BD13" s="344">
        <v>0</v>
      </c>
      <c r="BE13" s="30">
        <v>2</v>
      </c>
      <c r="BF13" s="31">
        <v>13</v>
      </c>
      <c r="BG13" s="344">
        <v>13</v>
      </c>
      <c r="BH13" s="30">
        <f>IF(BF13=0,"",IF(BF13&lt;6,2,IF(AND(BF13&gt;=6,BF13&lt;8),3,IF(AND(BF13&gt;=8,BF13&lt;10),4,IF(AND(BF13&gt;=10),5)))))</f>
        <v>5</v>
      </c>
      <c r="BI13" s="31">
        <v>13.8</v>
      </c>
      <c r="BJ13" s="344">
        <v>9</v>
      </c>
      <c r="BK13" s="30">
        <f>IF(BI13=0,"",IF(BI13&gt;16,2,IF(AND(BI13&lt;=16,BI13&gt;14.6),3,IF(AND(BI13&lt;=14.6,BI13&gt;13.6),4,IF(AND(BI13&lt;=13.6),5)))))</f>
        <v>4</v>
      </c>
      <c r="BL13" s="31">
        <v>3</v>
      </c>
      <c r="BM13" s="344">
        <v>1</v>
      </c>
      <c r="BN13" s="30">
        <f>IF(BL13=0,"",IF(BL13&lt;3,2,IF(AND(BL13&gt;=3,BL13&lt;4),3,IF(AND(BL13&gt;=4,BL13&lt;6),4,IF(AND(BL13&gt;=6),5)))))</f>
        <v>3</v>
      </c>
      <c r="BO13" s="40">
        <f>SUM(BA13,BD13,BG13,BJ13,BM13)</f>
        <v>23</v>
      </c>
      <c r="BP13" s="30">
        <f>IF(BO13=0,"",IF(BO13&lt;5,2,IF(AND(BO13&gt;=5,BO13&lt;17),3,IF(AND(BO13&gt;=17,BO13&lt;40),4,IF(AND(BO13&gt;=40),5)))))</f>
        <v>4</v>
      </c>
      <c r="BQ13" s="40">
        <f>SUM(AW13,BO13)</f>
        <v>66</v>
      </c>
      <c r="BR13" s="41"/>
      <c r="BS13" s="31">
        <v>10.4</v>
      </c>
      <c r="BT13" s="344">
        <v>1</v>
      </c>
      <c r="BU13" s="30">
        <f>IF(BS13=0,"",IF(BS13&gt;10.5,2,IF(AND(BS13&lt;=10.5,BS13&gt;10),3,IF(AND(BS13&lt;=10,BS13&gt;9.4),4,IF(AND(BS13&lt;=9.4),5)))))</f>
        <v>3</v>
      </c>
      <c r="BV13" s="31">
        <v>14.02</v>
      </c>
      <c r="BW13" s="344">
        <v>0</v>
      </c>
      <c r="BX13" s="30">
        <f>IF(BV13=0,"",IF(BV13&gt;13,2,IF(AND(BV13&lt;=13,BV13&gt;12),3,IF(AND(BV13&lt;=12,BV13&gt;10.2),4,IF(AND(BV13&lt;=10.2),5)))))</f>
        <v>2</v>
      </c>
      <c r="BY13" s="31">
        <v>23</v>
      </c>
      <c r="BZ13" s="344">
        <v>5</v>
      </c>
      <c r="CA13" s="30">
        <f>IF(BY13=0,"",IF(BY13&lt;18,2,IF(AND(BY13&gt;=18,BY13&lt;23),3,IF(AND(BY13&gt;=23,BY13&lt;28),4,IF(AND(BY13&gt;=28),5)))))</f>
        <v>4</v>
      </c>
      <c r="CB13" s="31">
        <v>1</v>
      </c>
      <c r="CC13" s="344">
        <v>0</v>
      </c>
      <c r="CD13" s="30">
        <f>IF(CB13=0,"",IF(CB13&lt;3,2,IF(AND(CB13&gt;=3,CB13&lt;5),3,IF(AND(CB13&gt;=5,CB13&lt;9),4,IF(AND(CB13&gt;=9),5)))))</f>
        <v>2</v>
      </c>
      <c r="CE13" s="40">
        <f>SUM(BT13,BW13,BZ13,CC13)</f>
        <v>6</v>
      </c>
      <c r="CF13" s="30">
        <f>IF(CE13=0,"",IF(CE13&lt;4,2,IF(AND(CE13&gt;=4,CE13&lt;16),3,IF(AND(CE13&gt;=16,CE13&lt;30),4,IF(AND(CE13&gt;=30),5)))))</f>
        <v>3</v>
      </c>
      <c r="CG13" s="40">
        <f>SUM(BQ13,CE13)</f>
        <v>72</v>
      </c>
      <c r="CH13" s="41"/>
      <c r="CI13" s="32" t="s">
        <v>243</v>
      </c>
    </row>
    <row r="14" spans="1:87">
      <c r="A14" s="315"/>
      <c r="B14" s="315"/>
      <c r="C14" s="178"/>
      <c r="G14" s="252"/>
      <c r="H14" s="253"/>
      <c r="I14" s="254"/>
      <c r="J14" s="252"/>
      <c r="K14" s="171"/>
      <c r="M14" s="179"/>
      <c r="N14" s="179"/>
      <c r="O14" s="37"/>
      <c r="P14" s="179"/>
      <c r="Q14" s="179"/>
      <c r="R14" s="37"/>
      <c r="S14" s="179"/>
      <c r="T14" s="179"/>
      <c r="U14" s="37"/>
      <c r="V14" s="179"/>
      <c r="W14" s="179"/>
      <c r="X14" s="37"/>
      <c r="Y14" s="180"/>
      <c r="Z14" s="37"/>
      <c r="AA14" s="181"/>
      <c r="AC14" s="179"/>
      <c r="AY14" s="92"/>
    </row>
    <row r="15" spans="1:87">
      <c r="A15" s="315"/>
      <c r="B15" s="316"/>
      <c r="C15" s="227" t="s">
        <v>19</v>
      </c>
      <c r="D15" s="248">
        <f>COUNTIF(D3:D13,"осн.")</f>
        <v>10</v>
      </c>
      <c r="E15" s="249"/>
      <c r="F15" s="217"/>
      <c r="G15" s="217"/>
      <c r="H15" s="217"/>
      <c r="I15" s="217"/>
      <c r="J15" s="217"/>
      <c r="K15" s="228"/>
      <c r="L15" s="106" t="s">
        <v>18</v>
      </c>
      <c r="M15" s="45"/>
      <c r="N15" s="45"/>
      <c r="O15" s="33">
        <f>AVERAGE(O3:O13)</f>
        <v>3.8</v>
      </c>
      <c r="P15" s="45"/>
      <c r="Q15" s="45"/>
      <c r="R15" s="33">
        <f>AVERAGE(R3:R13)</f>
        <v>4.9000000000000004</v>
      </c>
      <c r="S15" s="45"/>
      <c r="T15" s="45"/>
      <c r="U15" s="33">
        <f>AVERAGE(U3:U13)</f>
        <v>3.9</v>
      </c>
      <c r="V15" s="45"/>
      <c r="W15" s="45"/>
      <c r="X15" s="33">
        <f>AVERAGE(X3:X13)</f>
        <v>4.9000000000000004</v>
      </c>
      <c r="Y15" s="45"/>
      <c r="Z15" s="33">
        <f>AVERAGE(O15:X15)</f>
        <v>4.375</v>
      </c>
      <c r="AA15" s="33"/>
      <c r="AB15" s="32" t="s">
        <v>18</v>
      </c>
      <c r="AC15" s="45"/>
      <c r="AD15" s="32"/>
      <c r="AE15" s="30">
        <f>AVERAGE(AE3:AE13)</f>
        <v>4.3</v>
      </c>
      <c r="AF15" s="32"/>
      <c r="AG15" s="32"/>
      <c r="AH15" s="30">
        <f>AVERAGE(AH3:AH13)</f>
        <v>3.6</v>
      </c>
      <c r="AI15" s="32"/>
      <c r="AJ15" s="32"/>
      <c r="AK15" s="30">
        <f>AVERAGE(AK3:AK13)</f>
        <v>4.5999999999999996</v>
      </c>
      <c r="AL15" s="32"/>
      <c r="AM15" s="32"/>
      <c r="AN15" s="30">
        <f>AVERAGE(AN3:AN13)</f>
        <v>4</v>
      </c>
      <c r="AO15" s="32"/>
      <c r="AP15" s="32"/>
      <c r="AQ15" s="30">
        <f>AVERAGE(AQ3:AQ13)</f>
        <v>4.4444444444444446</v>
      </c>
      <c r="AR15" s="32"/>
      <c r="AS15" s="32"/>
      <c r="AT15" s="30">
        <f>AVERAGE(AT3:AT13)</f>
        <v>4.5555555555555554</v>
      </c>
      <c r="AU15" s="32"/>
      <c r="AV15" s="30">
        <f>AVERAGE(AE15:AT15)</f>
        <v>4.25</v>
      </c>
      <c r="AW15" s="32"/>
      <c r="AX15" s="32"/>
      <c r="AY15" s="32" t="s">
        <v>18</v>
      </c>
      <c r="AZ15" s="31"/>
      <c r="BA15" s="31"/>
      <c r="BB15" s="30">
        <f>AVERAGE(BB3:BB13)</f>
        <v>3.3333333333333335</v>
      </c>
      <c r="BC15" s="31"/>
      <c r="BD15" s="31"/>
      <c r="BE15" s="30">
        <f>AVERAGE(BE3:BE13)</f>
        <v>3.3333333333333335</v>
      </c>
      <c r="BF15" s="31"/>
      <c r="BG15" s="31"/>
      <c r="BH15" s="30">
        <f>AVERAGE(BH3:BH13)</f>
        <v>4.5999999999999996</v>
      </c>
      <c r="BI15" s="31"/>
      <c r="BJ15" s="31"/>
      <c r="BK15" s="30">
        <f>AVERAGE(BK3:BK13)</f>
        <v>4.8</v>
      </c>
      <c r="BL15" s="31"/>
      <c r="BM15" s="31"/>
      <c r="BN15" s="30">
        <f>AVERAGE(BN3:BN13)</f>
        <v>3.9</v>
      </c>
      <c r="BO15" s="31"/>
      <c r="BP15" s="30">
        <f>AVERAGE(BB15:BN15)</f>
        <v>3.9933333333333332</v>
      </c>
      <c r="BQ15" s="31"/>
      <c r="BR15" s="31"/>
      <c r="BS15" s="31"/>
      <c r="BT15" s="31"/>
      <c r="BU15" s="30">
        <f>AVERAGE(BU3:BU13)</f>
        <v>4.0999999999999996</v>
      </c>
      <c r="BV15" s="31"/>
      <c r="BW15" s="31"/>
      <c r="BX15" s="30">
        <f>AVERAGE(BX3:BX13)</f>
        <v>3.3</v>
      </c>
      <c r="BY15" s="31"/>
      <c r="BZ15" s="31"/>
      <c r="CA15" s="30">
        <f>AVERAGE(CA3:CA13)</f>
        <v>4.2</v>
      </c>
      <c r="CB15" s="31"/>
      <c r="CC15" s="31"/>
      <c r="CD15" s="30">
        <f>AVERAGE(CD3:CD13)</f>
        <v>4.7</v>
      </c>
      <c r="CE15" s="31"/>
      <c r="CF15" s="30">
        <f>AVERAGE(BU15:CD15)</f>
        <v>4.0750000000000002</v>
      </c>
      <c r="CG15" s="30">
        <f>AVERAGE(Z15,AV15,BP15,CF15)</f>
        <v>4.1733333333333329</v>
      </c>
      <c r="CH15" s="30"/>
      <c r="CI15" s="32" t="s">
        <v>18</v>
      </c>
    </row>
    <row r="16" spans="1:87">
      <c r="A16" s="315"/>
      <c r="B16" s="315"/>
      <c r="Y16" s="160" t="s">
        <v>17</v>
      </c>
      <c r="Z16" s="160"/>
      <c r="AY16" s="92"/>
    </row>
    <row r="17" spans="1:86">
      <c r="A17" s="315"/>
      <c r="B17" s="319" t="s">
        <v>16</v>
      </c>
      <c r="C17" s="26"/>
      <c r="D17" s="26"/>
      <c r="Y17" s="25" t="s">
        <v>15</v>
      </c>
      <c r="Z17" s="24">
        <v>10</v>
      </c>
      <c r="AA17" s="4"/>
      <c r="AB17" s="4"/>
      <c r="AU17" s="25" t="s">
        <v>15</v>
      </c>
      <c r="AV17" s="25">
        <v>10</v>
      </c>
      <c r="AY17" s="92"/>
      <c r="BO17" s="25" t="s">
        <v>15</v>
      </c>
      <c r="BP17" s="244">
        <v>10</v>
      </c>
      <c r="CE17" s="25" t="s">
        <v>15</v>
      </c>
      <c r="CF17" s="25">
        <v>10</v>
      </c>
    </row>
    <row r="18" spans="1:86">
      <c r="A18" s="315"/>
      <c r="B18" s="321"/>
      <c r="C18" s="23"/>
      <c r="Y18" s="22" t="s">
        <v>133</v>
      </c>
      <c r="Z18" s="13">
        <f>COUNTIF(Z3:Z13,5)</f>
        <v>7</v>
      </c>
      <c r="AU18" s="161" t="s">
        <v>134</v>
      </c>
      <c r="AV18" s="104">
        <f>COUNTIF(AV3:AV13,5)</f>
        <v>7</v>
      </c>
      <c r="AY18" s="92"/>
      <c r="BO18" s="161" t="s">
        <v>134</v>
      </c>
      <c r="BP18" s="245">
        <f>COUNTIF(BP3:BP13,5)</f>
        <v>7</v>
      </c>
      <c r="CE18" s="161" t="s">
        <v>134</v>
      </c>
      <c r="CF18" s="104">
        <f>COUNTIF(CF3:CF13,5)</f>
        <v>8</v>
      </c>
    </row>
    <row r="19" spans="1:86">
      <c r="A19" s="315"/>
      <c r="B19" s="326" t="s">
        <v>13</v>
      </c>
      <c r="C19" s="20">
        <v>10</v>
      </c>
      <c r="D19" s="19" t="s">
        <v>4</v>
      </c>
      <c r="Y19" s="18" t="s">
        <v>12</v>
      </c>
      <c r="Z19" s="13">
        <f>COUNTIF(Z3:Z13,4)</f>
        <v>3</v>
      </c>
      <c r="AU19" s="162" t="s">
        <v>12</v>
      </c>
      <c r="AV19" s="104">
        <f>COUNTIF(AV3:AV13,4)</f>
        <v>3</v>
      </c>
      <c r="AY19" s="92"/>
      <c r="BO19" s="162" t="s">
        <v>12</v>
      </c>
      <c r="BP19" s="245">
        <f>COUNTIF(BP3:BP13,4)</f>
        <v>2</v>
      </c>
      <c r="CE19" s="162" t="s">
        <v>12</v>
      </c>
      <c r="CF19" s="104">
        <f>COUNTIF(CF3:CF13,4)</f>
        <v>1</v>
      </c>
    </row>
    <row r="20" spans="1:86">
      <c r="A20" s="315"/>
      <c r="B20" s="327" t="s">
        <v>11</v>
      </c>
      <c r="C20" s="2">
        <f>COUNTIF(J3:J13,"деф.массы")</f>
        <v>1</v>
      </c>
      <c r="D20" s="2">
        <f>C20*100/C19</f>
        <v>10</v>
      </c>
      <c r="Y20" s="16" t="s">
        <v>10</v>
      </c>
      <c r="Z20" s="13">
        <f>COUNTIF(Z3:Z13,3)</f>
        <v>0</v>
      </c>
      <c r="AU20" s="163" t="s">
        <v>135</v>
      </c>
      <c r="AV20" s="104">
        <f>COUNTIF(AV3:AV13,3)</f>
        <v>0</v>
      </c>
      <c r="AY20" s="92"/>
      <c r="BO20" s="163" t="s">
        <v>135</v>
      </c>
      <c r="BP20" s="245">
        <f>COUNTIF(BP3:BP13,3)</f>
        <v>1</v>
      </c>
      <c r="CE20" s="163" t="s">
        <v>135</v>
      </c>
      <c r="CF20" s="104">
        <f>COUNTIF(CF3:CF13,3)</f>
        <v>1</v>
      </c>
    </row>
    <row r="21" spans="1:86">
      <c r="A21" s="315"/>
      <c r="B21" s="328" t="s">
        <v>9</v>
      </c>
      <c r="C21" s="2">
        <f>COUNTIF(J3:J13,"гарм.(-)")</f>
        <v>0</v>
      </c>
      <c r="D21" s="359">
        <f>(C21+C22+C23)*100/C19</f>
        <v>60</v>
      </c>
      <c r="Y21" s="14" t="s">
        <v>230</v>
      </c>
      <c r="Z21" s="13">
        <f>COUNTIF(Z3:Z13,2)</f>
        <v>0</v>
      </c>
      <c r="AU21" s="164" t="s">
        <v>136</v>
      </c>
      <c r="AV21" s="104">
        <f>COUNTIF(AV3:AV13,2)</f>
        <v>0</v>
      </c>
      <c r="AY21" s="92"/>
      <c r="BO21" s="164" t="s">
        <v>136</v>
      </c>
      <c r="BP21" s="245">
        <f>COUNTIF(BP3:BP13,2)</f>
        <v>0</v>
      </c>
      <c r="CE21" s="164" t="s">
        <v>136</v>
      </c>
      <c r="CF21" s="104">
        <f>COUNTIF(CF3:CF13,2)</f>
        <v>0</v>
      </c>
    </row>
    <row r="22" spans="1:86">
      <c r="A22" s="315"/>
      <c r="B22" s="329" t="s">
        <v>7</v>
      </c>
      <c r="C22" s="2">
        <f>COUNTIF(J3:J13,"гармонич.")</f>
        <v>2</v>
      </c>
      <c r="D22" s="360"/>
      <c r="Y22" s="11" t="s">
        <v>6</v>
      </c>
      <c r="Z22" s="10">
        <f>COUNTIF(Z3:Z13,"осв.")</f>
        <v>0</v>
      </c>
      <c r="AU22" s="3" t="s">
        <v>96</v>
      </c>
      <c r="AV22" s="3">
        <f>COUNTIF(AV3:AV13,"осв.")</f>
        <v>0</v>
      </c>
      <c r="AY22" s="92"/>
      <c r="BO22" s="3" t="s">
        <v>96</v>
      </c>
      <c r="BP22" s="43">
        <f>COUNTIF(BP3:BP13,"осв.")</f>
        <v>0</v>
      </c>
      <c r="CE22" s="3" t="s">
        <v>96</v>
      </c>
      <c r="CF22" s="3">
        <f>COUNTIF(CF3:CF13,"осв.")</f>
        <v>0</v>
      </c>
    </row>
    <row r="23" spans="1:86">
      <c r="A23" s="315"/>
      <c r="B23" s="330" t="s">
        <v>5</v>
      </c>
      <c r="C23" s="2">
        <f>COUNTIF(J3:J13,"гарм.(+)")</f>
        <v>4</v>
      </c>
      <c r="D23" s="361"/>
      <c r="Y23" s="8"/>
      <c r="Z23" s="7" t="s">
        <v>4</v>
      </c>
      <c r="AU23" s="8"/>
      <c r="AV23" s="7" t="s">
        <v>4</v>
      </c>
      <c r="AY23" s="92"/>
      <c r="BO23" s="8"/>
      <c r="BP23" s="7" t="s">
        <v>4</v>
      </c>
      <c r="CE23" s="8"/>
      <c r="CF23" s="7" t="s">
        <v>4</v>
      </c>
    </row>
    <row r="24" spans="1:86">
      <c r="A24" s="315"/>
      <c r="B24" s="331" t="s">
        <v>3</v>
      </c>
      <c r="C24" s="2">
        <f>COUNTIF(J3:J13,"тучное")</f>
        <v>3</v>
      </c>
      <c r="D24" s="2">
        <f>C24*100/C19</f>
        <v>30</v>
      </c>
      <c r="Y24" s="3" t="s">
        <v>2</v>
      </c>
      <c r="Z24" s="2">
        <f>AA24*100/Z17</f>
        <v>40</v>
      </c>
      <c r="AA24" s="5">
        <f>COUNTIF(AA3:AA13,5)</f>
        <v>4</v>
      </c>
      <c r="AB24" s="4"/>
      <c r="AU24" s="3" t="s">
        <v>2</v>
      </c>
      <c r="AV24" s="133">
        <f>AW24*100/AV17</f>
        <v>0</v>
      </c>
      <c r="AW24" s="229"/>
      <c r="AX24" s="132">
        <f>COUNTIF(AX3:AX13,5)</f>
        <v>0</v>
      </c>
      <c r="BO24" s="3" t="s">
        <v>2</v>
      </c>
      <c r="BP24" s="133">
        <f>BR24*100/BP17</f>
        <v>0</v>
      </c>
      <c r="BQ24" s="242"/>
      <c r="BR24" s="5">
        <f>COUNTIF(BR3:BR13,5)</f>
        <v>0</v>
      </c>
      <c r="BS24" s="225"/>
      <c r="CE24" s="3" t="s">
        <v>2</v>
      </c>
      <c r="CF24" s="133">
        <f>CH24*100/CF17</f>
        <v>10</v>
      </c>
      <c r="CG24" s="242"/>
      <c r="CH24" s="5">
        <f>COUNTIF(CH3:CH13,5)</f>
        <v>1</v>
      </c>
    </row>
    <row r="25" spans="1:86">
      <c r="A25" s="315"/>
      <c r="B25" s="323"/>
      <c r="C25" s="315"/>
      <c r="D25" s="315"/>
      <c r="Y25" s="3" t="s">
        <v>231</v>
      </c>
      <c r="Z25" s="2">
        <f>(Z18+Z19+Z22)/Z17*100</f>
        <v>100</v>
      </c>
      <c r="AU25" s="3" t="s">
        <v>231</v>
      </c>
      <c r="AV25" s="2">
        <f>(AV18+AV19+AV22)/AV17*100</f>
        <v>100</v>
      </c>
      <c r="AY25" s="143"/>
      <c r="BO25" s="3" t="s">
        <v>231</v>
      </c>
      <c r="BP25" s="2">
        <f>(BP18+BP19+BP22)/BP17*100</f>
        <v>90</v>
      </c>
      <c r="CE25" s="3" t="s">
        <v>231</v>
      </c>
      <c r="CF25" s="2">
        <f>(CF18+CF19+CF22)/CF17*100</f>
        <v>90</v>
      </c>
    </row>
    <row r="26" spans="1:86">
      <c r="A26" s="315"/>
      <c r="B26" s="323"/>
      <c r="C26" s="315"/>
      <c r="D26" s="315"/>
      <c r="Y26" s="3" t="s">
        <v>198</v>
      </c>
      <c r="Z26" s="2">
        <f>(Z18+Z19+Z20-Z21+Z22)*100/Z17</f>
        <v>100</v>
      </c>
      <c r="AU26" s="3" t="s">
        <v>198</v>
      </c>
      <c r="AV26" s="2">
        <f>(AV18+AV19+AV20-AV21+AV22)*100/AV17</f>
        <v>100</v>
      </c>
      <c r="AY26" s="92"/>
      <c r="BO26" s="3" t="s">
        <v>198</v>
      </c>
      <c r="BP26" s="2">
        <f>(BP18+BP19+BP20-BP21+BP22)*100/BP17</f>
        <v>100</v>
      </c>
      <c r="CE26" s="3" t="s">
        <v>198</v>
      </c>
      <c r="CF26" s="2">
        <f>(CF18+CF19+CF20-CF21+CF22)*100/CF17</f>
        <v>100</v>
      </c>
    </row>
    <row r="27" spans="1:86">
      <c r="AY27" s="92"/>
    </row>
    <row r="28" spans="1:86">
      <c r="AY28" s="92"/>
    </row>
    <row r="29" spans="1:86">
      <c r="AY29" s="92"/>
    </row>
    <row r="30" spans="1:86">
      <c r="AY30" s="92"/>
    </row>
    <row r="31" spans="1:86">
      <c r="AY31" s="92"/>
    </row>
    <row r="32" spans="1:86">
      <c r="AY32" s="92"/>
    </row>
    <row r="33" spans="51:51">
      <c r="AY33" s="92"/>
    </row>
  </sheetData>
  <mergeCells count="5">
    <mergeCell ref="D21:D23"/>
    <mergeCell ref="B1:K1"/>
    <mergeCell ref="BS1:CI1"/>
    <mergeCell ref="AB1:AX1"/>
    <mergeCell ref="L1:AA1"/>
  </mergeCells>
  <printOptions gridLines="1"/>
  <pageMargins left="0.75" right="0.75" top="1" bottom="1" header="0.5" footer="0.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Титульный лист</vt:lpstr>
      <vt:lpstr>5-а класс</vt:lpstr>
      <vt:lpstr>5-б класс</vt:lpstr>
      <vt:lpstr>6 кл.</vt:lpstr>
      <vt:lpstr>7-а класс</vt:lpstr>
      <vt:lpstr>7-б класс</vt:lpstr>
      <vt:lpstr>8 кл.</vt:lpstr>
      <vt:lpstr>9-а кл.</vt:lpstr>
      <vt:lpstr>9-б кл.</vt:lpstr>
      <vt:lpstr>10 кл.</vt:lpstr>
      <vt:lpstr>11 класс</vt:lpstr>
      <vt:lpstr>Итог.таблица</vt:lpstr>
      <vt:lpstr>Лучшие из лучших</vt:lpstr>
      <vt:lpstr>'Лучшие из лучших'!Область_печати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2010-05-13T06:35:56Z</dcterms:modified>
</cp:coreProperties>
</file>